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BW\BW Courses\P110 Physics of Music\"/>
    </mc:Choice>
  </mc:AlternateContent>
  <xr:revisionPtr revIDLastSave="0" documentId="13_ncr:1_{590D5760-64E8-4BF9-AF0F-E53F01C6F772}"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Sheet1!$A$1:$M$81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7" i="1" l="1"/>
  <c r="M58" i="1"/>
  <c r="M59" i="1"/>
  <c r="M60" i="1"/>
  <c r="M61" i="1"/>
  <c r="M62" i="1"/>
  <c r="M63" i="1"/>
  <c r="M56" i="1"/>
  <c r="M46" i="1"/>
  <c r="M47" i="1"/>
  <c r="M48" i="1"/>
  <c r="M49" i="1"/>
  <c r="M50" i="1"/>
  <c r="M51" i="1"/>
  <c r="M52" i="1"/>
  <c r="M45" i="1"/>
  <c r="M35" i="1"/>
  <c r="M36" i="1"/>
  <c r="M37" i="1"/>
  <c r="M38" i="1"/>
  <c r="M39" i="1"/>
  <c r="M40" i="1"/>
  <c r="M41" i="1"/>
  <c r="M34" i="1"/>
  <c r="M24" i="1"/>
  <c r="M25" i="1"/>
  <c r="M26" i="1"/>
  <c r="M27" i="1"/>
  <c r="M28" i="1"/>
  <c r="M29" i="1"/>
  <c r="M30" i="1"/>
  <c r="M23" i="1"/>
  <c r="M12" i="1"/>
  <c r="M13" i="1"/>
  <c r="M14" i="1"/>
  <c r="M15" i="1"/>
  <c r="M16" i="1"/>
  <c r="M17" i="1"/>
  <c r="M10" i="1"/>
  <c r="M11" i="1"/>
  <c r="L12" i="1"/>
  <c r="L13" i="1" s="1"/>
  <c r="L14" i="1" s="1"/>
  <c r="L15" i="1" s="1"/>
  <c r="L16" i="1" s="1"/>
  <c r="L17" i="1" s="1"/>
  <c r="L11" i="1"/>
  <c r="L1" i="1" l="1"/>
  <c r="G10" i="1"/>
  <c r="H10" i="1"/>
  <c r="G11" i="1"/>
  <c r="H11" i="1"/>
  <c r="I10" i="1" s="1"/>
  <c r="G12" i="1"/>
  <c r="H12" i="1"/>
  <c r="G13" i="1"/>
  <c r="H13" i="1"/>
  <c r="I12" i="1" s="1"/>
  <c r="G14" i="1"/>
  <c r="H14" i="1"/>
  <c r="G15" i="1"/>
  <c r="H15" i="1"/>
  <c r="I14" i="1" s="1"/>
  <c r="G16" i="1"/>
  <c r="H16" i="1"/>
  <c r="H17" i="1"/>
  <c r="K17" i="1"/>
  <c r="L24" i="1"/>
  <c r="L25" i="1" s="1"/>
  <c r="L26" i="1" s="1"/>
  <c r="L27" i="1" s="1"/>
  <c r="L28" i="1" s="1"/>
  <c r="L29" i="1" s="1"/>
  <c r="L30" i="1" s="1"/>
  <c r="K30" i="1"/>
  <c r="L35" i="1"/>
  <c r="L36" i="1" s="1"/>
  <c r="L37" i="1" s="1"/>
  <c r="L38" i="1" s="1"/>
  <c r="L39" i="1" s="1"/>
  <c r="L40" i="1" s="1"/>
  <c r="L41" i="1" s="1"/>
  <c r="K41" i="1"/>
  <c r="F25" i="1"/>
  <c r="L46" i="1"/>
  <c r="L47" i="1" s="1"/>
  <c r="L48" i="1" s="1"/>
  <c r="L49" i="1" s="1"/>
  <c r="L50" i="1" s="1"/>
  <c r="L51" i="1" s="1"/>
  <c r="L52" i="1" s="1"/>
  <c r="K52" i="1"/>
  <c r="L57" i="1"/>
  <c r="L58" i="1" s="1"/>
  <c r="L59" i="1" s="1"/>
  <c r="L60" i="1" s="1"/>
  <c r="L61" i="1" s="1"/>
  <c r="L62" i="1" s="1"/>
  <c r="L63" i="1" s="1"/>
  <c r="K63" i="1"/>
  <c r="I28" i="1" l="1"/>
  <c r="I15" i="1"/>
  <c r="K15" i="1" s="1"/>
  <c r="I13" i="1"/>
  <c r="K13" i="1" s="1"/>
  <c r="I11" i="1"/>
  <c r="K11" i="1" s="1"/>
  <c r="I16" i="1"/>
  <c r="J16" i="1" s="1"/>
  <c r="F17" i="1"/>
  <c r="F26" i="1"/>
  <c r="J14" i="1"/>
  <c r="K14" i="1"/>
  <c r="J12" i="1"/>
  <c r="K12" i="1"/>
  <c r="J10" i="1"/>
  <c r="K10" i="1"/>
  <c r="K16" i="1"/>
  <c r="J15" i="1"/>
  <c r="J13" i="1"/>
  <c r="I23" i="1"/>
  <c r="I24" i="1"/>
  <c r="I26" i="1" l="1"/>
  <c r="J26" i="1" s="1"/>
  <c r="J11" i="1"/>
  <c r="J23" i="1"/>
  <c r="K23" i="1"/>
  <c r="J24" i="1"/>
  <c r="K24" i="1"/>
  <c r="K26" i="1"/>
  <c r="I29" i="1"/>
  <c r="I25" i="1"/>
  <c r="K28" i="1"/>
  <c r="J28" i="1"/>
  <c r="I27" i="1"/>
  <c r="I34" i="1" l="1"/>
  <c r="K34" i="1" s="1"/>
  <c r="K27" i="1"/>
  <c r="J27" i="1"/>
  <c r="J25" i="1"/>
  <c r="K25" i="1"/>
  <c r="J29" i="1"/>
  <c r="K29" i="1"/>
  <c r="J34" i="1"/>
  <c r="I38" i="1" l="1"/>
  <c r="I36" i="1"/>
  <c r="J36" i="1" s="1"/>
  <c r="I39" i="1"/>
  <c r="I40" i="1"/>
  <c r="K38" i="1"/>
  <c r="J38" i="1"/>
  <c r="K36" i="1" l="1"/>
  <c r="I35" i="1"/>
  <c r="I37" i="1"/>
  <c r="K39" i="1"/>
  <c r="J39" i="1"/>
  <c r="J40" i="1"/>
  <c r="K40" i="1"/>
  <c r="J37" i="1" l="1"/>
  <c r="K37" i="1"/>
  <c r="I49" i="1"/>
  <c r="J35" i="1"/>
  <c r="K35" i="1"/>
  <c r="I51" i="1"/>
  <c r="K49" i="1" l="1"/>
  <c r="J49" i="1"/>
  <c r="I50" i="1"/>
  <c r="K51" i="1" s="1"/>
  <c r="I46" i="1"/>
  <c r="I47" i="1"/>
  <c r="I48" i="1"/>
  <c r="K50" i="1"/>
  <c r="J50" i="1"/>
  <c r="J51" i="1"/>
  <c r="I45" i="1" l="1"/>
  <c r="J45" i="1" s="1"/>
  <c r="I60" i="1"/>
  <c r="K48" i="1"/>
  <c r="J48" i="1"/>
  <c r="J47" i="1"/>
  <c r="K47" i="1"/>
  <c r="K46" i="1"/>
  <c r="J46" i="1"/>
  <c r="I62" i="1"/>
  <c r="I61" i="1" l="1"/>
  <c r="K61" i="1" s="1"/>
  <c r="K45" i="1"/>
  <c r="J60" i="1"/>
  <c r="K60" i="1"/>
  <c r="I57" i="1"/>
  <c r="I59" i="1"/>
  <c r="I58" i="1"/>
  <c r="J62" i="1"/>
  <c r="K62" i="1"/>
  <c r="J61" i="1"/>
  <c r="C45" i="1" l="1"/>
  <c r="D45" i="1" s="1"/>
  <c r="C44" i="1"/>
  <c r="D44" i="1" s="1"/>
  <c r="E44" i="1" s="1"/>
  <c r="C43" i="1"/>
  <c r="D43" i="1" s="1"/>
  <c r="K57" i="1"/>
  <c r="C41" i="1"/>
  <c r="D41" i="1" s="1"/>
  <c r="J57" i="1"/>
  <c r="F16" i="1"/>
  <c r="I56" i="1"/>
  <c r="J58" i="1"/>
  <c r="K58" i="1"/>
  <c r="C42" i="1"/>
  <c r="D42" i="1" s="1"/>
  <c r="F15" i="1"/>
  <c r="J59" i="1"/>
  <c r="K59" i="1"/>
  <c r="F14" i="1"/>
  <c r="E45" i="1"/>
  <c r="E41" i="1" l="1"/>
  <c r="F13" i="1"/>
  <c r="E43" i="1"/>
  <c r="J56" i="1"/>
  <c r="K56" i="1"/>
  <c r="F12" i="1"/>
  <c r="E42" i="1"/>
  <c r="F11" i="1"/>
  <c r="F10" i="1" l="1"/>
</calcChain>
</file>

<file path=xl/sharedStrings.xml><?xml version="1.0" encoding="utf-8"?>
<sst xmlns="http://schemas.openxmlformats.org/spreadsheetml/2006/main" count="138" uniqueCount="116">
  <si>
    <t>Spreadsheet for Woodwind Tone Hole Layout</t>
  </si>
  <si>
    <t>Ratio of Wavelength / Bore Length (=2 for flutes, =4 for clarinets)</t>
  </si>
  <si>
    <t>Dept. of Physics and Astronomy</t>
  </si>
  <si>
    <t>Speed of Sound (cm/sec)</t>
  </si>
  <si>
    <t>275 Eastland Rd.; Berea, OH 44017</t>
  </si>
  <si>
    <t>Wall Thickness (cm)</t>
  </si>
  <si>
    <t>Desired Note Names</t>
  </si>
  <si>
    <t>Effective Chimney Height</t>
  </si>
  <si>
    <t>Nominal Lengths</t>
  </si>
  <si>
    <t>Hole Spacing</t>
  </si>
  <si>
    <t>Local Cutoff Freq.</t>
  </si>
  <si>
    <t>Open Hole Correction</t>
  </si>
  <si>
    <t>Closed Hole Correction</t>
  </si>
  <si>
    <t>New Hole Positions</t>
  </si>
  <si>
    <t>f (Hz)</t>
  </si>
  <si>
    <t>2a (cm)</t>
  </si>
  <si>
    <t>2b (cm)</t>
  </si>
  <si>
    <t>Te (cm)</t>
  </si>
  <si>
    <t>L (cm)</t>
  </si>
  <si>
    <t>2s (cm)</t>
  </si>
  <si>
    <t>fc (Hz)</t>
  </si>
  <si>
    <t>Co, Cs</t>
  </si>
  <si>
    <t>Cc (cm)</t>
  </si>
  <si>
    <t>L-Co-Cc</t>
  </si>
  <si>
    <t>E5</t>
  </si>
  <si>
    <t>D5</t>
  </si>
  <si>
    <t>Bb4</t>
  </si>
  <si>
    <t>A4</t>
  </si>
  <si>
    <t xml:space="preserve">Co  </t>
  </si>
  <si>
    <t>Eb</t>
  </si>
  <si>
    <t>C#</t>
  </si>
  <si>
    <t>B</t>
  </si>
  <si>
    <t>(Bbb)</t>
  </si>
  <si>
    <t>Ab</t>
  </si>
  <si>
    <t>Embouchure hole</t>
  </si>
  <si>
    <t>Area (cm^2.)</t>
  </si>
  <si>
    <t>Bore Diam.</t>
  </si>
  <si>
    <t>Equivalent Length</t>
  </si>
  <si>
    <t>Calculate area and enter&gt;&gt;&gt;</t>
  </si>
  <si>
    <t>-----&gt;</t>
  </si>
  <si>
    <t>With no lips, the embouchure hole should be at&gt;&gt;</t>
  </si>
  <si>
    <t>(cm) from  bottom end.</t>
  </si>
  <si>
    <t>4. Determine the average wall thickness, and the bore diameter at the approximate location of each hole.</t>
  </si>
  <si>
    <t>For more information, consult the article "A Brief Summary of A.H. Benade's Wind Instrument Adjustment Principles,"</t>
  </si>
  <si>
    <t xml:space="preserve">                       Peter L. Hoekje, Catgut Acoustical Society Journal, Vol. 2, No. 7 (1995), pp. 16-24.</t>
  </si>
  <si>
    <t>NOTES</t>
  </si>
  <si>
    <t>Cutoff Frequency (Hz) (for comparison, only)</t>
  </si>
  <si>
    <t>ERRATA</t>
  </si>
  <si>
    <t>x (cm)</t>
  </si>
  <si>
    <r>
      <t xml:space="preserve">RESULTS </t>
    </r>
    <r>
      <rPr>
        <sz val="10"/>
        <color indexed="50"/>
        <rFont val="Arial"/>
        <family val="2"/>
      </rPr>
      <t>Distance from bottom end</t>
    </r>
  </si>
  <si>
    <t xml:space="preserve">Cross-fingerings in the low register:  </t>
  </si>
  <si>
    <t xml:space="preserve">Cents </t>
  </si>
  <si>
    <t>lowered</t>
  </si>
  <si>
    <t>(The effect is stronger in the 2nd register; in the low register just add fingers as needed.)</t>
  </si>
  <si>
    <t>F5</t>
  </si>
  <si>
    <t>C5</t>
  </si>
  <si>
    <t>G4</t>
  </si>
  <si>
    <t>F4</t>
  </si>
  <si>
    <t>--------- TOP of instrument ----------</t>
  </si>
  <si>
    <t>------- BOTTOM of instrument --------</t>
  </si>
  <si>
    <t>x xxx xxx - All holes closed</t>
  </si>
  <si>
    <t>x xxx xxo - One hole open</t>
  </si>
  <si>
    <t>x xxx ooo - Close with</t>
  </si>
  <si>
    <t>x xxx xoo   right hand</t>
  </si>
  <si>
    <t xml:space="preserve">x ooo ooo - Close with </t>
  </si>
  <si>
    <t>x xoo ooo   left hand</t>
  </si>
  <si>
    <t>x xxo ooo</t>
  </si>
  <si>
    <t>Fingerings</t>
  </si>
  <si>
    <t>Cut the raw tube to THIS LENGTH, then tune it by trimming shorter.</t>
  </si>
  <si>
    <t>Hole diameter (cm)</t>
  </si>
  <si>
    <t>1/8"</t>
  </si>
  <si>
    <t>0.48</t>
  </si>
  <si>
    <t>3/16"</t>
  </si>
  <si>
    <t>0.64</t>
  </si>
  <si>
    <t>1/4"</t>
  </si>
  <si>
    <t>0.80      0.96</t>
  </si>
  <si>
    <t>5/16"     3/8"</t>
  </si>
  <si>
    <t>1.12</t>
  </si>
  <si>
    <t xml:space="preserve">7/16" </t>
  </si>
  <si>
    <t xml:space="preserve">3. Decide on a target cutoff frequency.  For cross-fingered woodwinds, this is often just above the top of the </t>
  </si>
  <si>
    <t xml:space="preserve">6. The calculations determine the open- and closed-hole corrections that tend to flatten the frequency of a note, </t>
  </si>
  <si>
    <t xml:space="preserve">    compared to what would be obtained if the bore were chopped off cleanly at the location of the first open hole.</t>
  </si>
  <si>
    <t xml:space="preserve">7. In this example, 3/4" PVC tubing is used to make a cross-fingering flute in F, similar to an alto recorder or fife.  </t>
  </si>
  <si>
    <t>^^^^^</t>
  </si>
  <si>
    <t xml:space="preserve">1st Iteration   (You can usually ignore these columns!)                                                        </t>
  </si>
  <si>
    <t>Desired Playing Freq.</t>
  </si>
  <si>
    <t>Hole Diam.</t>
  </si>
  <si>
    <t>o ooo ooo (o xxx xxx) thumb</t>
  </si>
  <si>
    <t>1. To use this spreadsheet, first decide on the basic low register scale, and the corresponding playing</t>
  </si>
  <si>
    <t xml:space="preserve">     frequencies.  Enter these in the first two columns, starting with all holes closed in the bottom row.  </t>
  </si>
  <si>
    <t xml:space="preserve">10.The estimated cross-fingering flattenings are meant as a guide only, since the assumption of regular hole spacing is not valid.  </t>
  </si>
  <si>
    <t xml:space="preserve">    As a result, the actual flattening in the low register will be less than what is shown.  Meanwhile, the second register flattening may be more!</t>
  </si>
  <si>
    <t xml:space="preserve">9. Do you want a hint?  Try starting with 1/4" holes (0.635 cm) as a guess.  The local cutoff frequencies will be closer to the 2x700 Hz target.  </t>
  </si>
  <si>
    <t xml:space="preserve">    But, the A4 hole will be too close to the Bb hole and too far from the G hole.  Make it bigger so it will move down the tube. </t>
  </si>
  <si>
    <t xml:space="preserve">    second register.   For modern instruments, it is usually somewhat higher. </t>
  </si>
  <si>
    <t>2. Enter the sound speed, in cm/sec, in the appropriate box.  For most wind instruments, 34500 cm/sec</t>
  </si>
  <si>
    <t xml:space="preserve">    (But no calculations are done with this number; you enter it here as a reminder for yourself!)</t>
  </si>
  <si>
    <t xml:space="preserve">5. Choose approximate hole sizes.  Vary these as a group until the median cutoff frequency is approximately </t>
  </si>
  <si>
    <r>
      <t xml:space="preserve">    correct.  Then, they can be adjusted individually to fit your other design constraints (</t>
    </r>
    <r>
      <rPr>
        <i/>
        <sz val="10"/>
        <rFont val="Arial"/>
        <family val="2"/>
      </rPr>
      <t xml:space="preserve">e.g. </t>
    </r>
    <r>
      <rPr>
        <sz val="10"/>
        <rFont val="Arial"/>
        <family val="2"/>
      </rPr>
      <t>finger placements!)</t>
    </r>
  </si>
  <si>
    <r>
      <t xml:space="preserve">    is always </t>
    </r>
    <r>
      <rPr>
        <i/>
        <sz val="10"/>
        <rFont val="Arial"/>
        <family val="2"/>
      </rPr>
      <t>too low</t>
    </r>
    <r>
      <rPr>
        <sz val="10"/>
        <rFont val="Arial"/>
        <family val="2"/>
      </rPr>
      <t>; the second register will be too flat!  It's your job to see if you can make it work with slightly larger holes!</t>
    </r>
  </si>
  <si>
    <t xml:space="preserve">    is reasonable, maybe a little less for flutes.</t>
  </si>
  <si>
    <r>
      <t>8. The hole sizes originally supplied with this spreadsheet are intentionally</t>
    </r>
    <r>
      <rPr>
        <i/>
        <sz val="10"/>
        <rFont val="Arial"/>
        <family val="2"/>
      </rPr>
      <t xml:space="preserve"> too small</t>
    </r>
    <r>
      <rPr>
        <sz val="10"/>
        <rFont val="Arial"/>
        <family val="2"/>
      </rPr>
      <t xml:space="preserve">, and as a result the 'local cutoff frequency'  </t>
    </r>
  </si>
  <si>
    <t xml:space="preserve">2nd Iteration   (You can usually ignore these columns!)                                                                        </t>
  </si>
  <si>
    <t xml:space="preserve">3rd Iteration   (You can usually ignore these columns!)                                                                        </t>
  </si>
  <si>
    <t xml:space="preserve">4th Iteration   (You can usually ignore these columns!)                                                                        </t>
  </si>
  <si>
    <t xml:space="preserve">5th Iteration   (You can usually ignore these columns!)                                                                        </t>
  </si>
  <si>
    <r>
      <t xml:space="preserve">INSTRUCTIONS: For 3/4" copper-tubing-size PVC pipe, you will only change the </t>
    </r>
    <r>
      <rPr>
        <i/>
        <sz val="10"/>
        <color indexed="56"/>
        <rFont val="Arial"/>
        <family val="2"/>
      </rPr>
      <t>BLUE</t>
    </r>
    <r>
      <rPr>
        <i/>
        <sz val="10"/>
        <rFont val="Arial"/>
        <family val="2"/>
      </rPr>
      <t xml:space="preserve"> comments (but no effect on the calculations) and the </t>
    </r>
    <r>
      <rPr>
        <i/>
        <sz val="10"/>
        <color indexed="10"/>
        <rFont val="Arial"/>
        <family val="2"/>
      </rPr>
      <t>RED</t>
    </r>
    <r>
      <rPr>
        <i/>
        <sz val="10"/>
        <rFont val="Arial"/>
        <family val="2"/>
      </rPr>
      <t xml:space="preserve"> numbers (critical).  Enter the frequencies for the notes you want to play in the low register, in order from high down to low.  Change the hole sizes until the </t>
    </r>
    <r>
      <rPr>
        <i/>
        <sz val="10"/>
        <color rgb="FF00B050"/>
        <rFont val="Arial"/>
        <family val="2"/>
      </rPr>
      <t>GREEN</t>
    </r>
    <r>
      <rPr>
        <i/>
        <sz val="10"/>
        <rFont val="Arial"/>
        <family val="2"/>
      </rPr>
      <t xml:space="preserve"> hole locations are comfortable for your fingers.  See NOTES at bottom of sheet, row 63.</t>
    </r>
  </si>
  <si>
    <t>0.32</t>
  </si>
  <si>
    <t xml:space="preserve">Fractional drill size </t>
  </si>
  <si>
    <t>Baldwin Wallace University</t>
  </si>
  <si>
    <t>Designed by:</t>
  </si>
  <si>
    <t>YOUR NAME HERE</t>
  </si>
  <si>
    <t>However, the player's lips tend to close the hole a little and also make it taller, both of which flatten the instrument and increase the hole's equivalent length.  Likewise, for a side-blown flute or fife, the section between this hole and the end cork provides a little more flattening in the low register, though the cork is really used for tuning the upper registers.  So, the hole should really be moved more towards the fingerholes, relative to the number suggested here.  I strongly recommend doing some trial and error.  For example, make a separate head joint.  OR, drill the embouchure hole first, then tune the total tube length before laying out the finger holes.  (Usually the flattening effect of the closed holes is pretty small.)  Pete Kosel  (www.cwo.com/~ph_kosel) has done some empirical estimates that work for him, based on the average of a small number of flutes.  Check his page if you want to get up and running quickly, because he's got lots of other useful advice.</t>
  </si>
  <si>
    <t>1. This version fixes a minor error in the closed hole correction, replacing the constant values that had infiltrated a previous version.  plh Jan07</t>
  </si>
  <si>
    <t>2. Found another! Cc only counted for closed holes ABOVE the first open hole. plh Oct20</t>
  </si>
  <si>
    <t>Peter L. Hoekje, 3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</si>
</sst>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ont>
    <font>
      <sz val="10"/>
      <name val="Arial"/>
      <family val="2"/>
    </font>
    <font>
      <b/>
      <sz val="10"/>
      <color indexed="10"/>
      <name val="Arial"/>
      <family val="2"/>
    </font>
    <font>
      <b/>
      <sz val="10"/>
      <color indexed="56"/>
      <name val="Arial"/>
      <family val="2"/>
    </font>
    <font>
      <b/>
      <sz val="10"/>
      <color indexed="50"/>
      <name val="Arial"/>
      <family val="2"/>
    </font>
    <font>
      <sz val="10"/>
      <color indexed="50"/>
      <name val="Arial"/>
      <family val="2"/>
    </font>
    <font>
      <b/>
      <sz val="10"/>
      <name val="Arial"/>
      <family val="2"/>
    </font>
    <font>
      <i/>
      <sz val="10"/>
      <name val="Arial"/>
      <family val="2"/>
    </font>
    <font>
      <i/>
      <sz val="10"/>
      <color indexed="56"/>
      <name val="Arial"/>
      <family val="2"/>
    </font>
    <font>
      <i/>
      <sz val="10"/>
      <color indexed="10"/>
      <name val="Arial"/>
      <family val="2"/>
    </font>
    <font>
      <b/>
      <sz val="12"/>
      <name val="Arial"/>
      <family val="2"/>
    </font>
    <font>
      <u/>
      <sz val="10"/>
      <color theme="0" tint="-0.499984740745262"/>
      <name val="Arial"/>
      <family val="2"/>
    </font>
    <font>
      <sz val="10"/>
      <color theme="0" tint="-0.499984740745262"/>
      <name val="Arial"/>
      <family val="2"/>
    </font>
    <font>
      <i/>
      <sz val="10"/>
      <color rgb="FF00B050"/>
      <name val="Arial"/>
      <family val="2"/>
    </font>
    <font>
      <b/>
      <i/>
      <sz val="12"/>
      <name val="Arial"/>
      <family val="2"/>
    </font>
    <font>
      <sz val="12"/>
      <name val="Arial"/>
      <family val="2"/>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06">
    <xf numFmtId="0" fontId="0" fillId="0" borderId="0" xfId="0"/>
    <xf numFmtId="0" fontId="0" fillId="0" borderId="0" xfId="0" applyAlignment="1">
      <alignment horizontal="center"/>
    </xf>
    <xf numFmtId="2" fontId="0" fillId="0" borderId="0" xfId="0" applyNumberFormat="1" applyAlignment="1">
      <alignment horizontal="center"/>
    </xf>
    <xf numFmtId="0" fontId="1" fillId="0" borderId="0" xfId="0" applyFont="1"/>
    <xf numFmtId="0" fontId="2" fillId="0" borderId="0" xfId="0" applyFont="1"/>
    <xf numFmtId="2" fontId="0" fillId="0" borderId="0" xfId="0" applyNumberFormat="1"/>
    <xf numFmtId="49" fontId="0" fillId="0" borderId="0" xfId="0" applyNumberFormat="1" applyAlignment="1">
      <alignment horizontal="right"/>
    </xf>
    <xf numFmtId="0" fontId="2" fillId="0" borderId="0" xfId="0" applyFont="1" applyAlignment="1">
      <alignment horizontal="left" vertical="top"/>
    </xf>
    <xf numFmtId="0" fontId="0" fillId="0" borderId="0" xfId="0" applyAlignment="1">
      <alignment horizontal="left" vertical="top"/>
    </xf>
    <xf numFmtId="1" fontId="0" fillId="0" borderId="0" xfId="0" applyNumberFormat="1"/>
    <xf numFmtId="1" fontId="0" fillId="0" borderId="0" xfId="0" applyNumberFormat="1" applyAlignment="1">
      <alignment horizontal="center"/>
    </xf>
    <xf numFmtId="0" fontId="0" fillId="0" borderId="0" xfId="0" applyAlignment="1">
      <alignment horizontal="right"/>
    </xf>
    <xf numFmtId="2" fontId="0" fillId="0" borderId="0" xfId="0" applyNumberFormat="1" applyAlignment="1">
      <alignment horizontal="righ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Border="1" applyAlignment="1">
      <alignment horizontal="center"/>
    </xf>
    <xf numFmtId="0" fontId="1" fillId="0" borderId="1" xfId="0" applyFont="1" applyBorder="1"/>
    <xf numFmtId="0" fontId="0" fillId="0" borderId="2" xfId="0" applyBorder="1" applyAlignment="1">
      <alignment horizontal="center"/>
    </xf>
    <xf numFmtId="0" fontId="0" fillId="0" borderId="4" xfId="0" applyBorder="1" applyAlignment="1">
      <alignment horizontal="right"/>
    </xf>
    <xf numFmtId="2" fontId="0" fillId="0" borderId="0" xfId="0" applyNumberFormat="1" applyBorder="1" applyAlignment="1">
      <alignment horizontal="center"/>
    </xf>
    <xf numFmtId="2" fontId="0" fillId="0" borderId="6" xfId="0" applyNumberFormat="1" applyBorder="1" applyAlignment="1">
      <alignment horizontal="center"/>
    </xf>
    <xf numFmtId="0" fontId="0" fillId="0" borderId="7" xfId="0" applyBorder="1"/>
    <xf numFmtId="0" fontId="0" fillId="0" borderId="0" xfId="0" applyBorder="1" applyAlignment="1">
      <alignment horizontal="right"/>
    </xf>
    <xf numFmtId="2" fontId="1" fillId="0" borderId="0" xfId="0" applyNumberFormat="1" applyFont="1" applyBorder="1"/>
    <xf numFmtId="0" fontId="0" fillId="0" borderId="0" xfId="0" quotePrefix="1" applyBorder="1"/>
    <xf numFmtId="0" fontId="0" fillId="0" borderId="2" xfId="0" applyBorder="1" applyAlignment="1">
      <alignment horizontal="left"/>
    </xf>
    <xf numFmtId="0" fontId="1" fillId="0" borderId="2" xfId="0" applyFont="1" applyBorder="1"/>
    <xf numFmtId="0" fontId="0" fillId="0" borderId="8" xfId="0" applyBorder="1"/>
    <xf numFmtId="0" fontId="0" fillId="0" borderId="6" xfId="0" applyBorder="1"/>
    <xf numFmtId="0" fontId="0" fillId="0" borderId="6" xfId="0" applyBorder="1" applyAlignment="1">
      <alignment horizontal="right"/>
    </xf>
    <xf numFmtId="0" fontId="1" fillId="0" borderId="0" xfId="0" applyFont="1" applyProtection="1">
      <protection locked="0"/>
    </xf>
    <xf numFmtId="2" fontId="3" fillId="0" borderId="0" xfId="0" applyNumberFormat="1" applyFont="1" applyAlignment="1" applyProtection="1">
      <alignment horizontal="center"/>
      <protection locked="0"/>
    </xf>
    <xf numFmtId="2" fontId="1" fillId="0" borderId="0" xfId="0" applyNumberFormat="1" applyFont="1" applyAlignment="1" applyProtection="1">
      <alignment horizontal="center"/>
      <protection locked="0"/>
    </xf>
    <xf numFmtId="0" fontId="7" fillId="0" borderId="0" xfId="0" applyFont="1"/>
    <xf numFmtId="0" fontId="8" fillId="0" borderId="0" xfId="0" applyFont="1"/>
    <xf numFmtId="0" fontId="11" fillId="0" borderId="0" xfId="0" applyFont="1"/>
    <xf numFmtId="2" fontId="5" fillId="0" borderId="10" xfId="0" applyNumberFormat="1" applyFont="1" applyBorder="1" applyAlignment="1">
      <alignment horizontal="center"/>
    </xf>
    <xf numFmtId="2" fontId="5" fillId="0" borderId="11" xfId="0" applyNumberFormat="1" applyFont="1" applyBorder="1" applyAlignment="1">
      <alignment horizontal="center"/>
    </xf>
    <xf numFmtId="0" fontId="2" fillId="0" borderId="0" xfId="0" applyFont="1" applyBorder="1"/>
    <xf numFmtId="2" fontId="0" fillId="0" borderId="13" xfId="0" applyNumberFormat="1" applyBorder="1" applyAlignment="1">
      <alignment horizontal="center"/>
    </xf>
    <xf numFmtId="0" fontId="2" fillId="0" borderId="4" xfId="0" applyFont="1" applyBorder="1"/>
    <xf numFmtId="0" fontId="7" fillId="0" borderId="1" xfId="0" applyFont="1" applyBorder="1"/>
    <xf numFmtId="49" fontId="7" fillId="0" borderId="0" xfId="0" applyNumberFormat="1" applyFont="1" applyBorder="1" applyAlignment="1">
      <alignment horizontal="center"/>
    </xf>
    <xf numFmtId="49" fontId="7" fillId="0" borderId="2" xfId="0" applyNumberFormat="1" applyFont="1" applyBorder="1" applyAlignment="1">
      <alignment horizontal="center"/>
    </xf>
    <xf numFmtId="0" fontId="7" fillId="0" borderId="2" xfId="0" applyFont="1" applyBorder="1"/>
    <xf numFmtId="0" fontId="2" fillId="0" borderId="0" xfId="0" quotePrefix="1" applyFont="1"/>
    <xf numFmtId="0" fontId="4" fillId="0" borderId="0" xfId="0" applyFont="1" applyAlignment="1" applyProtection="1">
      <alignment horizontal="center"/>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9" xfId="0" applyFont="1" applyBorder="1" applyAlignment="1">
      <alignment horizontal="center" vertical="center" wrapText="1"/>
    </xf>
    <xf numFmtId="0" fontId="0" fillId="0" borderId="13" xfId="0" applyBorder="1" applyAlignment="1">
      <alignment horizontal="center"/>
    </xf>
    <xf numFmtId="0" fontId="6" fillId="0" borderId="14" xfId="0" applyFont="1" applyBorder="1" applyAlignment="1">
      <alignment horizontal="center"/>
    </xf>
    <xf numFmtId="0" fontId="2" fillId="0" borderId="13" xfId="0" applyFont="1" applyBorder="1"/>
    <xf numFmtId="0" fontId="2" fillId="0" borderId="13" xfId="0" quotePrefix="1" applyFont="1" applyBorder="1"/>
    <xf numFmtId="0" fontId="2" fillId="0" borderId="0" xfId="0" quotePrefix="1" applyFont="1" applyAlignment="1">
      <alignment horizontal="center"/>
    </xf>
    <xf numFmtId="0" fontId="4" fillId="0" borderId="15" xfId="0" applyFont="1" applyBorder="1" applyAlignment="1" applyProtection="1">
      <alignment horizontal="center"/>
      <protection locked="0"/>
    </xf>
    <xf numFmtId="2" fontId="3" fillId="0" borderId="15" xfId="0" applyNumberFormat="1" applyFont="1" applyBorder="1" applyAlignment="1" applyProtection="1">
      <alignment horizontal="center"/>
      <protection locked="0"/>
    </xf>
    <xf numFmtId="2" fontId="1" fillId="0" borderId="15" xfId="0" applyNumberFormat="1" applyFont="1" applyBorder="1" applyAlignment="1" applyProtection="1">
      <alignment horizontal="center"/>
      <protection locked="0"/>
    </xf>
    <xf numFmtId="2" fontId="5" fillId="0" borderId="16" xfId="0" applyNumberFormat="1" applyFont="1" applyBorder="1" applyAlignment="1">
      <alignment horizontal="center"/>
    </xf>
    <xf numFmtId="2" fontId="0" fillId="0" borderId="15" xfId="0" applyNumberFormat="1" applyBorder="1" applyAlignment="1">
      <alignment horizontal="center"/>
    </xf>
    <xf numFmtId="0" fontId="4" fillId="0" borderId="13" xfId="0" applyFont="1" applyBorder="1" applyAlignment="1" applyProtection="1">
      <alignment horizontal="center"/>
      <protection locked="0"/>
    </xf>
    <xf numFmtId="2" fontId="3" fillId="0" borderId="13" xfId="0" applyNumberFormat="1" applyFont="1" applyBorder="1" applyAlignment="1" applyProtection="1">
      <alignment horizontal="center"/>
      <protection locked="0"/>
    </xf>
    <xf numFmtId="2" fontId="1" fillId="0" borderId="13" xfId="0" applyNumberFormat="1" applyFont="1" applyBorder="1" applyAlignment="1" applyProtection="1">
      <alignment horizontal="center"/>
      <protection locked="0"/>
    </xf>
    <xf numFmtId="2" fontId="5" fillId="0" borderId="14" xfId="0" applyNumberFormat="1" applyFont="1" applyBorder="1" applyAlignment="1">
      <alignment horizontal="center"/>
    </xf>
    <xf numFmtId="0" fontId="7" fillId="0" borderId="0" xfId="0" applyFont="1" applyBorder="1" applyAlignment="1" applyProtection="1">
      <alignment horizontal="right"/>
      <protection locked="0"/>
    </xf>
    <xf numFmtId="0" fontId="12" fillId="0" borderId="0" xfId="0" applyFont="1"/>
    <xf numFmtId="0" fontId="13" fillId="0" borderId="0" xfId="0" applyFont="1"/>
    <xf numFmtId="0" fontId="13" fillId="0" borderId="0" xfId="0" applyFont="1" applyAlignment="1">
      <alignment horizontal="center" vertical="center" wrapText="1"/>
    </xf>
    <xf numFmtId="0" fontId="13" fillId="0" borderId="13" xfId="0" applyFont="1" applyBorder="1" applyAlignment="1">
      <alignment horizontal="center"/>
    </xf>
    <xf numFmtId="2" fontId="13" fillId="0" borderId="15" xfId="0" applyNumberFormat="1" applyFont="1" applyBorder="1" applyAlignment="1">
      <alignment horizontal="center"/>
    </xf>
    <xf numFmtId="2" fontId="13" fillId="0" borderId="0" xfId="0" applyNumberFormat="1" applyFont="1" applyAlignment="1">
      <alignment horizontal="center"/>
    </xf>
    <xf numFmtId="2" fontId="13" fillId="0" borderId="13" xfId="0" applyNumberFormat="1" applyFont="1" applyBorder="1" applyAlignment="1">
      <alignment horizontal="center"/>
    </xf>
    <xf numFmtId="0" fontId="13" fillId="0" borderId="0" xfId="0" applyFont="1" applyAlignment="1">
      <alignment horizontal="center"/>
    </xf>
    <xf numFmtId="0" fontId="7" fillId="0" borderId="15" xfId="0" quotePrefix="1" applyFont="1" applyBorder="1" applyProtection="1">
      <protection locked="0"/>
    </xf>
    <xf numFmtId="0" fontId="7" fillId="0" borderId="0" xfId="0" quotePrefix="1" applyFont="1" applyProtection="1">
      <protection locked="0"/>
    </xf>
    <xf numFmtId="0" fontId="7" fillId="0" borderId="13" xfId="0" quotePrefix="1" applyFont="1" applyBorder="1" applyProtection="1">
      <protection locked="0"/>
    </xf>
    <xf numFmtId="0" fontId="7" fillId="0" borderId="0" xfId="0" applyFont="1" applyAlignment="1">
      <alignment horizontal="center"/>
    </xf>
    <xf numFmtId="0" fontId="1" fillId="0" borderId="0" xfId="0" applyFont="1" applyBorder="1" applyProtection="1">
      <protection locked="0"/>
    </xf>
    <xf numFmtId="0" fontId="0" fillId="0" borderId="4" xfId="0" applyBorder="1" applyAlignment="1" applyProtection="1">
      <alignment horizontal="right"/>
      <protection locked="0"/>
    </xf>
    <xf numFmtId="0" fontId="0" fillId="0" borderId="8" xfId="0" applyBorder="1" applyAlignment="1" applyProtection="1">
      <alignment horizontal="right"/>
      <protection locked="0"/>
    </xf>
    <xf numFmtId="1" fontId="7" fillId="0" borderId="0" xfId="0" applyNumberFormat="1" applyFont="1" applyBorder="1" applyAlignment="1">
      <alignment horizontal="center"/>
    </xf>
    <xf numFmtId="1" fontId="7" fillId="0" borderId="6" xfId="0" applyNumberFormat="1" applyFont="1" applyBorder="1" applyAlignment="1">
      <alignment horizontal="center"/>
    </xf>
    <xf numFmtId="0" fontId="2" fillId="0" borderId="0" xfId="0" applyFont="1" applyAlignment="1">
      <alignment horizontal="right"/>
    </xf>
    <xf numFmtId="2" fontId="7" fillId="0" borderId="12" xfId="0" applyNumberFormat="1" applyFont="1" applyBorder="1" applyAlignment="1">
      <alignment horizontal="center"/>
    </xf>
    <xf numFmtId="15" fontId="0" fillId="0" borderId="0" xfId="0" applyNumberFormat="1" applyAlignment="1">
      <alignment horizontal="left"/>
    </xf>
    <xf numFmtId="0" fontId="0" fillId="0" borderId="0" xfId="0" applyAlignment="1"/>
    <xf numFmtId="0" fontId="8" fillId="0" borderId="0" xfId="0" applyFont="1" applyAlignment="1">
      <alignment wrapText="1"/>
    </xf>
    <xf numFmtId="0" fontId="0" fillId="0" borderId="0" xfId="0" applyAlignment="1">
      <alignment wrapText="1"/>
    </xf>
    <xf numFmtId="0" fontId="2" fillId="0" borderId="1" xfId="0" applyNumberFormat="1" applyFont="1" applyBorder="1" applyAlignment="1">
      <alignment wrapText="1"/>
    </xf>
    <xf numFmtId="0" fontId="2" fillId="0" borderId="2" xfId="0" applyNumberFormat="1" applyFont="1" applyBorder="1" applyAlignment="1">
      <alignment wrapText="1"/>
    </xf>
    <xf numFmtId="0" fontId="2" fillId="0" borderId="3" xfId="0" applyNumberFormat="1" applyFont="1" applyBorder="1" applyAlignment="1">
      <alignment wrapText="1"/>
    </xf>
    <xf numFmtId="0" fontId="2" fillId="0" borderId="4" xfId="0" applyNumberFormat="1" applyFont="1" applyBorder="1" applyAlignment="1">
      <alignment wrapText="1"/>
    </xf>
    <xf numFmtId="0" fontId="2" fillId="0" borderId="0" xfId="0" applyNumberFormat="1" applyFont="1" applyBorder="1" applyAlignment="1">
      <alignment wrapText="1"/>
    </xf>
    <xf numFmtId="0" fontId="2" fillId="0" borderId="5" xfId="0" applyNumberFormat="1" applyFont="1" applyBorder="1" applyAlignment="1">
      <alignment wrapText="1"/>
    </xf>
    <xf numFmtId="0" fontId="2" fillId="0" borderId="8" xfId="0" applyNumberFormat="1" applyFont="1" applyBorder="1" applyAlignment="1">
      <alignment wrapText="1"/>
    </xf>
    <xf numFmtId="0" fontId="2" fillId="0" borderId="6" xfId="0" applyNumberFormat="1" applyFont="1" applyBorder="1" applyAlignment="1">
      <alignment wrapText="1"/>
    </xf>
    <xf numFmtId="0" fontId="2" fillId="0" borderId="7" xfId="0" applyNumberFormat="1" applyFont="1" applyBorder="1" applyAlignment="1">
      <alignment wrapText="1"/>
    </xf>
    <xf numFmtId="1" fontId="2" fillId="0" borderId="3" xfId="0" applyNumberFormat="1" applyFont="1" applyBorder="1" applyAlignment="1">
      <alignment horizontal="left" wrapText="1"/>
    </xf>
    <xf numFmtId="0" fontId="0" fillId="0" borderId="5" xfId="0" applyBorder="1" applyAlignment="1">
      <alignment horizontal="left" wrapText="1"/>
    </xf>
    <xf numFmtId="0" fontId="0" fillId="0" borderId="7" xfId="0" applyBorder="1" applyAlignment="1">
      <alignment horizontal="left" wrapText="1"/>
    </xf>
    <xf numFmtId="0" fontId="15" fillId="0" borderId="0" xfId="0" applyFont="1" applyAlignment="1" applyProtection="1">
      <protection locked="0"/>
    </xf>
    <xf numFmtId="0" fontId="16" fillId="0" borderId="0" xfId="0" applyFont="1" applyAlignment="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16</xdr:row>
      <xdr:rowOff>161925</xdr:rowOff>
    </xdr:from>
    <xdr:to>
      <xdr:col>7</xdr:col>
      <xdr:colOff>85725</xdr:colOff>
      <xdr:row>18</xdr:row>
      <xdr:rowOff>9525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V="1">
          <a:off x="4533900" y="3648075"/>
          <a:ext cx="1514475" cy="1809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2"/>
  <sheetViews>
    <sheetView tabSelected="1" zoomScaleNormal="100" workbookViewId="0">
      <selection activeCell="G1" sqref="G1:J1"/>
    </sheetView>
  </sheetViews>
  <sheetFormatPr defaultRowHeight="12.5" x14ac:dyDescent="0.25"/>
  <cols>
    <col min="1" max="1" width="7.453125" style="4" customWidth="1"/>
    <col min="2" max="2" width="27.81640625" style="4" customWidth="1"/>
    <col min="3" max="3" width="9.26953125" customWidth="1"/>
    <col min="4" max="5" width="8" customWidth="1"/>
    <col min="6" max="6" width="13.26953125" customWidth="1"/>
    <col min="7" max="7" width="8.26953125" customWidth="1"/>
    <col min="9" max="9" width="7.81640625" customWidth="1"/>
    <col min="13" max="13" width="10.453125" customWidth="1"/>
  </cols>
  <sheetData>
    <row r="1" spans="1:17" ht="15.5" x14ac:dyDescent="0.35">
      <c r="A1" s="38" t="s">
        <v>0</v>
      </c>
      <c r="B1" s="38"/>
      <c r="F1" s="86" t="s">
        <v>110</v>
      </c>
      <c r="G1" s="104" t="s">
        <v>111</v>
      </c>
      <c r="H1" s="105"/>
      <c r="I1" s="105"/>
      <c r="J1" s="105"/>
      <c r="L1" s="88">
        <f ca="1">TODAY()</f>
        <v>44107</v>
      </c>
      <c r="M1" s="89"/>
    </row>
    <row r="2" spans="1:17" ht="24.75" customHeight="1" x14ac:dyDescent="0.3">
      <c r="A2" s="4" t="s">
        <v>115</v>
      </c>
      <c r="C2" s="33">
        <v>2</v>
      </c>
      <c r="D2" t="s">
        <v>1</v>
      </c>
    </row>
    <row r="3" spans="1:17" ht="13" x14ac:dyDescent="0.3">
      <c r="A3" s="4" t="s">
        <v>2</v>
      </c>
      <c r="C3" s="33">
        <v>34500</v>
      </c>
      <c r="D3" t="s">
        <v>3</v>
      </c>
    </row>
    <row r="4" spans="1:17" ht="13" x14ac:dyDescent="0.3">
      <c r="A4" s="4" t="s">
        <v>109</v>
      </c>
      <c r="C4" s="33">
        <v>1400</v>
      </c>
      <c r="D4" t="s">
        <v>46</v>
      </c>
    </row>
    <row r="5" spans="1:17" ht="13" x14ac:dyDescent="0.3">
      <c r="A5" s="4" t="s">
        <v>4</v>
      </c>
      <c r="C5" s="33">
        <v>0.22500000000000001</v>
      </c>
      <c r="D5" t="s">
        <v>5</v>
      </c>
    </row>
    <row r="6" spans="1:17" ht="45" customHeight="1" x14ac:dyDescent="0.3">
      <c r="A6" s="90" t="s">
        <v>106</v>
      </c>
      <c r="B6" s="90"/>
      <c r="C6" s="91"/>
      <c r="D6" s="91"/>
      <c r="E6" s="91"/>
      <c r="F6" s="91"/>
      <c r="G6" s="91"/>
      <c r="H6" s="91"/>
      <c r="I6" s="91"/>
      <c r="J6" s="91"/>
      <c r="K6" s="91"/>
      <c r="L6" s="91"/>
    </row>
    <row r="7" spans="1:17" ht="13.5" thickBot="1" x14ac:dyDescent="0.35">
      <c r="A7" s="37"/>
      <c r="B7" s="37"/>
      <c r="C7" s="33"/>
      <c r="I7" s="69" t="s">
        <v>84</v>
      </c>
      <c r="J7" s="70"/>
      <c r="K7" s="70"/>
      <c r="L7" s="70"/>
      <c r="M7" s="70"/>
    </row>
    <row r="8" spans="1:17" ht="47.25" customHeight="1" x14ac:dyDescent="0.25">
      <c r="A8" s="51" t="s">
        <v>6</v>
      </c>
      <c r="B8" s="50" t="s">
        <v>67</v>
      </c>
      <c r="C8" s="51" t="s">
        <v>85</v>
      </c>
      <c r="D8" s="51" t="s">
        <v>36</v>
      </c>
      <c r="E8" s="51" t="s">
        <v>86</v>
      </c>
      <c r="F8" s="53" t="s">
        <v>49</v>
      </c>
      <c r="G8" s="52" t="s">
        <v>7</v>
      </c>
      <c r="H8" s="51" t="s">
        <v>8</v>
      </c>
      <c r="I8" s="71" t="s">
        <v>9</v>
      </c>
      <c r="J8" s="71" t="s">
        <v>10</v>
      </c>
      <c r="K8" s="71" t="s">
        <v>11</v>
      </c>
      <c r="L8" s="71" t="s">
        <v>12</v>
      </c>
      <c r="M8" s="71" t="s">
        <v>13</v>
      </c>
    </row>
    <row r="9" spans="1:17" x14ac:dyDescent="0.25">
      <c r="A9" s="56"/>
      <c r="B9" s="57" t="s">
        <v>58</v>
      </c>
      <c r="C9" s="54" t="s">
        <v>14</v>
      </c>
      <c r="D9" s="54" t="s">
        <v>15</v>
      </c>
      <c r="E9" s="54" t="s">
        <v>16</v>
      </c>
      <c r="F9" s="55" t="s">
        <v>48</v>
      </c>
      <c r="G9" s="54" t="s">
        <v>17</v>
      </c>
      <c r="H9" s="54" t="s">
        <v>18</v>
      </c>
      <c r="I9" s="72" t="s">
        <v>19</v>
      </c>
      <c r="J9" s="72" t="s">
        <v>20</v>
      </c>
      <c r="K9" s="72" t="s">
        <v>21</v>
      </c>
      <c r="L9" s="72" t="s">
        <v>22</v>
      </c>
      <c r="M9" s="72" t="s">
        <v>23</v>
      </c>
    </row>
    <row r="10" spans="1:17" ht="13" x14ac:dyDescent="0.3">
      <c r="A10" s="59" t="s">
        <v>54</v>
      </c>
      <c r="B10" s="77" t="s">
        <v>87</v>
      </c>
      <c r="C10" s="60">
        <v>697.7</v>
      </c>
      <c r="D10" s="61">
        <v>1.78</v>
      </c>
      <c r="E10" s="60">
        <v>0.32</v>
      </c>
      <c r="F10" s="62">
        <f t="shared" ref="F10:F17" si="0">+M$63-M56</f>
        <v>29.587710479492667</v>
      </c>
      <c r="G10" s="63">
        <f t="shared" ref="G10:G16" si="1">+$C$5+0.75*E10</f>
        <v>0.46499999999999997</v>
      </c>
      <c r="H10" s="63">
        <f>+$C$3/C10/$C$2</f>
        <v>24.724093449906835</v>
      </c>
      <c r="I10" s="73">
        <f t="shared" ref="I10:I16" si="2">+H11-H10</f>
        <v>1.6480209056962813</v>
      </c>
      <c r="J10" s="73">
        <f t="shared" ref="J10:J16" si="3">+$C$3*$E10/$D10/2/PI()/SQRT($G10*I10)</f>
        <v>1127.6163594794211</v>
      </c>
      <c r="K10" s="73">
        <f t="shared" ref="K10:K15" si="4">+I10*0.5*(SQRT(1+4*$G10/I10*($D10/$E10)^2)-1)</f>
        <v>4.1146444702980727</v>
      </c>
      <c r="L10" s="73">
        <v>0</v>
      </c>
      <c r="M10" s="73">
        <f>+$H10-K10-L10</f>
        <v>20.609448979608764</v>
      </c>
      <c r="Q10" s="9"/>
    </row>
    <row r="11" spans="1:17" ht="13" x14ac:dyDescent="0.3">
      <c r="A11" s="49" t="s">
        <v>24</v>
      </c>
      <c r="B11" s="78" t="s">
        <v>64</v>
      </c>
      <c r="C11" s="34">
        <v>654.1</v>
      </c>
      <c r="D11" s="35">
        <v>1.78</v>
      </c>
      <c r="E11" s="34">
        <v>0.48</v>
      </c>
      <c r="F11" s="39">
        <f t="shared" si="0"/>
        <v>26.154111222860809</v>
      </c>
      <c r="G11" s="2">
        <f t="shared" si="1"/>
        <v>0.58499999999999996</v>
      </c>
      <c r="H11" s="2">
        <f t="shared" ref="H11:H17" si="5">+$C$3/C11/$C$2</f>
        <v>26.372114355603117</v>
      </c>
      <c r="I11" s="74">
        <f t="shared" si="2"/>
        <v>3.0597232147773639</v>
      </c>
      <c r="J11" s="74">
        <f t="shared" si="3"/>
        <v>1106.7294278068434</v>
      </c>
      <c r="K11" s="74">
        <f t="shared" si="4"/>
        <v>3.6619812906598823</v>
      </c>
      <c r="L11" s="74">
        <f>0.25*$C$5*(E10/D10)^2+L10</f>
        <v>1.8179522787526827E-3</v>
      </c>
      <c r="M11" s="74">
        <f>+$H11-K11-L11</f>
        <v>22.708315112664483</v>
      </c>
      <c r="N11" s="11"/>
      <c r="O11" s="5"/>
      <c r="P11" s="2"/>
      <c r="Q11" s="9"/>
    </row>
    <row r="12" spans="1:17" ht="13" x14ac:dyDescent="0.3">
      <c r="A12" s="49" t="s">
        <v>25</v>
      </c>
      <c r="B12" s="78" t="s">
        <v>65</v>
      </c>
      <c r="C12" s="34">
        <v>586.1</v>
      </c>
      <c r="D12" s="35">
        <v>1.78</v>
      </c>
      <c r="E12" s="34">
        <v>0.47599999999999998</v>
      </c>
      <c r="F12" s="39">
        <f t="shared" si="0"/>
        <v>23.024331192202165</v>
      </c>
      <c r="G12" s="2">
        <f t="shared" si="1"/>
        <v>0.58199999999999996</v>
      </c>
      <c r="H12" s="2">
        <f t="shared" si="5"/>
        <v>29.43183757038048</v>
      </c>
      <c r="I12" s="74">
        <f t="shared" si="2"/>
        <v>3.5320454794953093</v>
      </c>
      <c r="J12" s="74">
        <f t="shared" si="3"/>
        <v>1024.1216359415048</v>
      </c>
      <c r="K12" s="74">
        <f t="shared" si="4"/>
        <v>3.8788599518670575</v>
      </c>
      <c r="L12" s="74">
        <f t="shared" ref="L12:L17" si="6">0.25*$C$5*(E11/D11)^2+L11</f>
        <v>5.9083449059462185E-3</v>
      </c>
      <c r="M12" s="74">
        <f t="shared" ref="M12:M17" si="7">+$H12-K12-L12</f>
        <v>25.547069273607477</v>
      </c>
      <c r="N12" s="11"/>
      <c r="O12" s="5"/>
      <c r="P12" s="2"/>
      <c r="Q12" s="9"/>
    </row>
    <row r="13" spans="1:17" ht="13" x14ac:dyDescent="0.3">
      <c r="A13" s="64" t="s">
        <v>55</v>
      </c>
      <c r="B13" s="79" t="s">
        <v>66</v>
      </c>
      <c r="C13" s="65">
        <v>523.29999999999995</v>
      </c>
      <c r="D13" s="66">
        <v>1.78</v>
      </c>
      <c r="E13" s="65">
        <v>0.47599999999999998</v>
      </c>
      <c r="F13" s="67">
        <f t="shared" si="0"/>
        <v>20.20364079859052</v>
      </c>
      <c r="G13" s="42">
        <f t="shared" si="1"/>
        <v>0.58199999999999996</v>
      </c>
      <c r="H13" s="42">
        <f t="shared" si="5"/>
        <v>32.96388304987579</v>
      </c>
      <c r="I13" s="75">
        <f t="shared" si="2"/>
        <v>4.116942401542957</v>
      </c>
      <c r="J13" s="75">
        <f t="shared" si="3"/>
        <v>948.5872637928926</v>
      </c>
      <c r="K13" s="75">
        <f t="shared" si="4"/>
        <v>4.0850948044436173</v>
      </c>
      <c r="L13" s="75">
        <f t="shared" si="6"/>
        <v>9.9308483777300841E-3</v>
      </c>
      <c r="M13" s="75">
        <f t="shared" si="7"/>
        <v>28.868857397054441</v>
      </c>
      <c r="N13" s="11"/>
      <c r="O13" s="5"/>
      <c r="P13" s="2"/>
      <c r="Q13" s="9"/>
    </row>
    <row r="14" spans="1:17" ht="13" x14ac:dyDescent="0.3">
      <c r="A14" s="49" t="s">
        <v>26</v>
      </c>
      <c r="B14" s="78" t="s">
        <v>62</v>
      </c>
      <c r="C14" s="34">
        <v>465.2</v>
      </c>
      <c r="D14" s="35">
        <v>1.78</v>
      </c>
      <c r="E14" s="34">
        <v>0.47599999999999998</v>
      </c>
      <c r="F14" s="39">
        <f t="shared" si="0"/>
        <v>15.530578019228059</v>
      </c>
      <c r="G14" s="2">
        <f t="shared" si="1"/>
        <v>0.58199999999999996</v>
      </c>
      <c r="H14" s="2">
        <f t="shared" si="5"/>
        <v>37.080825451418747</v>
      </c>
      <c r="I14" s="74">
        <f t="shared" si="2"/>
        <v>2.4743224504386205</v>
      </c>
      <c r="J14" s="74">
        <f t="shared" si="3"/>
        <v>1223.5917411342743</v>
      </c>
      <c r="K14" s="74">
        <f t="shared" si="4"/>
        <v>3.4177351036054149</v>
      </c>
      <c r="L14" s="74">
        <f t="shared" si="6"/>
        <v>1.395335184951395E-2</v>
      </c>
      <c r="M14" s="74">
        <f t="shared" si="7"/>
        <v>33.649136995963815</v>
      </c>
      <c r="N14" s="11"/>
      <c r="O14" s="5"/>
      <c r="P14" s="2"/>
      <c r="Q14" s="9"/>
    </row>
    <row r="15" spans="1:17" ht="13" x14ac:dyDescent="0.3">
      <c r="A15" s="49" t="s">
        <v>27</v>
      </c>
      <c r="B15" s="78" t="s">
        <v>63</v>
      </c>
      <c r="C15" s="34">
        <v>436.1</v>
      </c>
      <c r="D15" s="35">
        <v>1.78</v>
      </c>
      <c r="E15" s="34">
        <v>0.63500000000000001</v>
      </c>
      <c r="F15" s="39">
        <f t="shared" si="0"/>
        <v>12.246225493140379</v>
      </c>
      <c r="G15" s="2">
        <f t="shared" si="1"/>
        <v>0.70125000000000004</v>
      </c>
      <c r="H15" s="2">
        <f t="shared" si="5"/>
        <v>39.555147901857367</v>
      </c>
      <c r="I15" s="74">
        <f t="shared" si="2"/>
        <v>4.5963750057443775</v>
      </c>
      <c r="J15" s="74">
        <f t="shared" si="3"/>
        <v>1091.0603799647909</v>
      </c>
      <c r="K15" s="74">
        <f t="shared" si="4"/>
        <v>3.2343072835312201</v>
      </c>
      <c r="L15" s="74">
        <f t="shared" si="6"/>
        <v>1.7975855321297814E-2</v>
      </c>
      <c r="M15" s="74">
        <f t="shared" si="7"/>
        <v>36.302864763004848</v>
      </c>
      <c r="N15" s="11"/>
      <c r="O15" s="5"/>
      <c r="P15" s="2"/>
      <c r="Q15" s="9"/>
    </row>
    <row r="16" spans="1:17" ht="13" x14ac:dyDescent="0.3">
      <c r="A16" s="64" t="s">
        <v>56</v>
      </c>
      <c r="B16" s="79" t="s">
        <v>61</v>
      </c>
      <c r="C16" s="65">
        <v>390.7</v>
      </c>
      <c r="D16" s="66">
        <v>1.78</v>
      </c>
      <c r="E16" s="65">
        <v>0.47599999999999998</v>
      </c>
      <c r="F16" s="67">
        <f t="shared" si="0"/>
        <v>9.0144893746434818</v>
      </c>
      <c r="G16" s="42">
        <f t="shared" si="1"/>
        <v>0.58199999999999996</v>
      </c>
      <c r="H16" s="42">
        <f t="shared" si="5"/>
        <v>44.151522907601745</v>
      </c>
      <c r="I16" s="75">
        <f t="shared" si="2"/>
        <v>5.2895776942899175</v>
      </c>
      <c r="J16" s="75">
        <f t="shared" si="3"/>
        <v>836.86264854178296</v>
      </c>
      <c r="K16" s="75">
        <f>+$G$16/(($E$16/$D$16)^2+$G$16*(1/I16 + ($D16-$D$15)/$D$16/I$15))</f>
        <v>3.2059251659869887</v>
      </c>
      <c r="L16" s="75">
        <f t="shared" si="6"/>
        <v>2.5134486254892056E-2</v>
      </c>
      <c r="M16" s="75">
        <f t="shared" si="7"/>
        <v>40.920463255359863</v>
      </c>
      <c r="N16" s="11"/>
      <c r="Q16" s="9"/>
    </row>
    <row r="17" spans="1:30" ht="13.5" thickBot="1" x14ac:dyDescent="0.35">
      <c r="A17" s="49" t="s">
        <v>57</v>
      </c>
      <c r="B17" s="78" t="s">
        <v>60</v>
      </c>
      <c r="C17" s="34">
        <v>348.9</v>
      </c>
      <c r="D17" s="35">
        <v>1.78</v>
      </c>
      <c r="E17" s="35"/>
      <c r="F17" s="40">
        <f t="shared" si="0"/>
        <v>0</v>
      </c>
      <c r="G17" s="1"/>
      <c r="H17" s="87">
        <f t="shared" si="5"/>
        <v>49.441100601891662</v>
      </c>
      <c r="I17" s="74"/>
      <c r="J17" s="74"/>
      <c r="K17" s="74">
        <f>0.6133*$D17/2</f>
        <v>0.54583700000000002</v>
      </c>
      <c r="L17" s="74">
        <f t="shared" si="6"/>
        <v>2.9156989726675922E-2</v>
      </c>
      <c r="M17" s="74">
        <f t="shared" si="7"/>
        <v>48.866106612164991</v>
      </c>
      <c r="N17" s="11"/>
      <c r="Q17" s="9"/>
    </row>
    <row r="18" spans="1:30" x14ac:dyDescent="0.25">
      <c r="A18"/>
      <c r="B18" s="48" t="s">
        <v>59</v>
      </c>
      <c r="H18" s="58" t="s">
        <v>83</v>
      </c>
      <c r="I18" s="70"/>
      <c r="J18" s="70"/>
      <c r="K18" s="70"/>
      <c r="L18" s="70"/>
      <c r="M18" s="70"/>
      <c r="N18" s="11"/>
      <c r="O18" s="1"/>
      <c r="P18" s="6"/>
      <c r="Q18" s="10"/>
      <c r="R18" s="1"/>
      <c r="T18" s="6"/>
      <c r="U18" s="1"/>
      <c r="V18" s="1"/>
      <c r="W18" s="1"/>
      <c r="Y18" s="6"/>
      <c r="Z18" s="1"/>
      <c r="AA18" s="1"/>
      <c r="AB18" s="1"/>
      <c r="AD18" s="6"/>
    </row>
    <row r="19" spans="1:30" ht="13" x14ac:dyDescent="0.3">
      <c r="A19" s="16"/>
      <c r="C19" s="16"/>
      <c r="E19" s="16"/>
      <c r="H19" s="68" t="s">
        <v>68</v>
      </c>
      <c r="I19" s="70"/>
      <c r="J19" s="70"/>
      <c r="K19" s="70"/>
      <c r="L19" s="70"/>
      <c r="M19" s="70"/>
      <c r="N19" s="12"/>
      <c r="O19" s="2"/>
      <c r="Q19" s="9"/>
      <c r="R19" s="2"/>
      <c r="S19" s="5"/>
      <c r="U19" s="5"/>
      <c r="W19" s="2"/>
      <c r="X19" s="5"/>
      <c r="Z19" s="5"/>
      <c r="AB19" s="2"/>
      <c r="AC19" s="5"/>
      <c r="AD19" s="3"/>
    </row>
    <row r="20" spans="1:30" ht="13" x14ac:dyDescent="0.3">
      <c r="G20" s="16"/>
      <c r="I20" s="70"/>
      <c r="J20" s="70"/>
      <c r="K20" s="70"/>
      <c r="L20" s="70"/>
      <c r="M20" s="70"/>
      <c r="N20" s="12"/>
      <c r="O20" s="2"/>
      <c r="Q20" s="9"/>
      <c r="R20" s="2"/>
      <c r="S20" s="5"/>
      <c r="U20" s="5"/>
      <c r="W20" s="2"/>
      <c r="X20" s="5"/>
      <c r="Z20" s="5"/>
      <c r="AB20" s="2"/>
      <c r="AC20" s="5"/>
      <c r="AD20" s="3"/>
    </row>
    <row r="21" spans="1:30" ht="13" x14ac:dyDescent="0.3">
      <c r="B21" s="80" t="s">
        <v>69</v>
      </c>
      <c r="C21" s="48" t="s">
        <v>107</v>
      </c>
      <c r="D21" s="48" t="s">
        <v>71</v>
      </c>
      <c r="E21" s="48" t="s">
        <v>73</v>
      </c>
      <c r="F21" s="48" t="s">
        <v>75</v>
      </c>
      <c r="G21" s="48" t="s">
        <v>77</v>
      </c>
      <c r="I21" s="69" t="s">
        <v>102</v>
      </c>
      <c r="J21" s="70"/>
      <c r="K21" s="70"/>
      <c r="L21" s="70"/>
      <c r="M21" s="70"/>
      <c r="N21" s="11"/>
      <c r="Q21" s="9"/>
      <c r="R21" s="2"/>
      <c r="S21" s="5"/>
      <c r="U21" s="5"/>
      <c r="W21" s="2"/>
      <c r="X21" s="5"/>
      <c r="Z21" s="5"/>
      <c r="AB21" s="2"/>
      <c r="AC21" s="5"/>
    </row>
    <row r="22" spans="1:30" ht="12.75" customHeight="1" x14ac:dyDescent="0.3">
      <c r="B22" s="80" t="s">
        <v>108</v>
      </c>
      <c r="C22" s="48" t="s">
        <v>70</v>
      </c>
      <c r="D22" s="48" t="s">
        <v>72</v>
      </c>
      <c r="E22" s="48" t="s">
        <v>74</v>
      </c>
      <c r="F22" s="48" t="s">
        <v>76</v>
      </c>
      <c r="G22" s="48" t="s">
        <v>78</v>
      </c>
      <c r="I22" s="76" t="s">
        <v>19</v>
      </c>
      <c r="J22" s="76" t="s">
        <v>20</v>
      </c>
      <c r="K22" s="76" t="s">
        <v>21</v>
      </c>
      <c r="L22" s="76" t="s">
        <v>22</v>
      </c>
      <c r="M22" s="76" t="s">
        <v>23</v>
      </c>
      <c r="N22" s="11"/>
      <c r="O22" s="5"/>
      <c r="P22" s="2"/>
      <c r="Q22" s="9"/>
      <c r="R22" s="2"/>
      <c r="S22" s="5"/>
      <c r="U22" s="5"/>
      <c r="W22" s="2"/>
      <c r="X22" s="5"/>
      <c r="Z22" s="5"/>
      <c r="AB22" s="2"/>
      <c r="AC22" s="5"/>
      <c r="AD22" s="3"/>
    </row>
    <row r="23" spans="1:30" ht="13" thickBot="1" x14ac:dyDescent="0.3">
      <c r="G23" s="16"/>
      <c r="I23" s="74">
        <f t="shared" ref="I23:I29" si="8">+M11-M10</f>
        <v>2.0988661330557186</v>
      </c>
      <c r="J23" s="74">
        <f t="shared" ref="J23:J29" si="9">+$C$3*$E10/$D10/2/PI()/SQRT($G10*I23)</f>
        <v>999.19523969093188</v>
      </c>
      <c r="K23" s="74">
        <f t="shared" ref="K23:K28" si="10">+I23*0.5*(SQRT(1+4*$G10/I23*($D10/$E10)^2)-1)</f>
        <v>4.5451428035171899</v>
      </c>
      <c r="L23" s="74">
        <v>0</v>
      </c>
      <c r="M23" s="74">
        <f>+$H10-K23-L23</f>
        <v>20.178950646389644</v>
      </c>
      <c r="N23" s="11"/>
      <c r="O23" s="5"/>
      <c r="P23" s="2"/>
      <c r="Q23" s="9"/>
    </row>
    <row r="24" spans="1:30" ht="13" x14ac:dyDescent="0.3">
      <c r="A24" s="19" t="s">
        <v>34</v>
      </c>
      <c r="B24" s="29"/>
      <c r="C24" s="28" t="s">
        <v>35</v>
      </c>
      <c r="D24" s="13" t="s">
        <v>36</v>
      </c>
      <c r="E24" s="13"/>
      <c r="F24" s="29" t="s">
        <v>37</v>
      </c>
      <c r="G24" s="14"/>
      <c r="I24" s="74">
        <f t="shared" si="8"/>
        <v>2.8387541609429938</v>
      </c>
      <c r="J24" s="74">
        <f t="shared" si="9"/>
        <v>1148.9963176344684</v>
      </c>
      <c r="K24" s="74">
        <f t="shared" si="10"/>
        <v>3.5657751928645651</v>
      </c>
      <c r="L24" s="74">
        <f t="shared" ref="L24:L30" si="11">0.25*$C$5*(E10/D10)^2+L23</f>
        <v>1.8179522787526827E-3</v>
      </c>
      <c r="M24" s="74">
        <f t="shared" ref="M24:M30" si="12">+$H11-K24-L24</f>
        <v>22.8045212104598</v>
      </c>
      <c r="N24" s="11"/>
      <c r="O24" s="5"/>
      <c r="P24" s="2"/>
      <c r="Q24" s="9"/>
    </row>
    <row r="25" spans="1:30" ht="13" x14ac:dyDescent="0.3">
      <c r="B25" s="21" t="s">
        <v>38</v>
      </c>
      <c r="C25" s="81">
        <v>0.748</v>
      </c>
      <c r="D25" s="81">
        <v>1.78</v>
      </c>
      <c r="E25" s="27" t="s">
        <v>39</v>
      </c>
      <c r="F25" s="26">
        <f>+PI()*0.25*$D$25*$D$25/$C$25*($C$5+1.5*SQRT($C$25/PI()))</f>
        <v>3.1835128131001675</v>
      </c>
      <c r="G25" s="17"/>
      <c r="I25" s="74">
        <f t="shared" si="8"/>
        <v>3.3217881234469644</v>
      </c>
      <c r="J25" s="74">
        <f t="shared" si="9"/>
        <v>1056.0359935757438</v>
      </c>
      <c r="K25" s="74">
        <f t="shared" si="10"/>
        <v>3.7974239296580659</v>
      </c>
      <c r="L25" s="74">
        <f t="shared" si="11"/>
        <v>5.9083449059462185E-3</v>
      </c>
      <c r="M25" s="74">
        <f t="shared" si="12"/>
        <v>25.628505295816467</v>
      </c>
      <c r="N25" s="11"/>
      <c r="O25" s="5"/>
      <c r="P25" s="2"/>
      <c r="Q25" s="9"/>
    </row>
    <row r="26" spans="1:30" ht="13" x14ac:dyDescent="0.3">
      <c r="A26" s="15"/>
      <c r="B26" s="16"/>
      <c r="C26" s="16"/>
      <c r="D26" s="16"/>
      <c r="E26" s="25" t="s">
        <v>40</v>
      </c>
      <c r="F26" s="26">
        <f>+M63-F25</f>
        <v>45.682593799064826</v>
      </c>
      <c r="G26" s="17"/>
      <c r="I26" s="74">
        <f t="shared" si="8"/>
        <v>4.7802795989093738</v>
      </c>
      <c r="J26" s="74">
        <f t="shared" si="9"/>
        <v>880.31486449250269</v>
      </c>
      <c r="K26" s="74">
        <f t="shared" si="10"/>
        <v>4.2894931426440523</v>
      </c>
      <c r="L26" s="74">
        <f t="shared" si="11"/>
        <v>9.9308483777300841E-3</v>
      </c>
      <c r="M26" s="74">
        <f t="shared" si="12"/>
        <v>28.664459058854007</v>
      </c>
      <c r="N26" s="11"/>
      <c r="O26" s="5"/>
      <c r="P26" s="2"/>
      <c r="Q26" s="9"/>
    </row>
    <row r="27" spans="1:30" ht="13" thickBot="1" x14ac:dyDescent="0.3">
      <c r="A27" s="30"/>
      <c r="B27" s="31"/>
      <c r="C27" s="31"/>
      <c r="D27" s="31"/>
      <c r="E27" s="32" t="s">
        <v>41</v>
      </c>
      <c r="F27" s="32"/>
      <c r="G27" s="24"/>
      <c r="I27" s="74">
        <f t="shared" si="8"/>
        <v>2.6537277670410333</v>
      </c>
      <c r="J27" s="74">
        <f t="shared" si="9"/>
        <v>1181.5075480649748</v>
      </c>
      <c r="K27" s="74">
        <f t="shared" si="10"/>
        <v>3.5061647450620277</v>
      </c>
      <c r="L27" s="74">
        <f t="shared" si="11"/>
        <v>1.395335184951395E-2</v>
      </c>
      <c r="M27" s="74">
        <f t="shared" si="12"/>
        <v>33.560707354507201</v>
      </c>
      <c r="N27" s="11"/>
      <c r="Q27" s="9"/>
    </row>
    <row r="28" spans="1:30" x14ac:dyDescent="0.25">
      <c r="A28" s="92" t="s">
        <v>112</v>
      </c>
      <c r="B28" s="93"/>
      <c r="C28" s="93"/>
      <c r="D28" s="93"/>
      <c r="E28" s="93"/>
      <c r="F28" s="93"/>
      <c r="G28" s="94"/>
      <c r="I28" s="74">
        <f t="shared" si="8"/>
        <v>4.6175984923550146</v>
      </c>
      <c r="J28" s="74">
        <f t="shared" si="9"/>
        <v>1088.550116853881</v>
      </c>
      <c r="K28" s="74">
        <f t="shared" si="10"/>
        <v>3.2386625028999791</v>
      </c>
      <c r="L28" s="74">
        <f t="shared" si="11"/>
        <v>1.7975855321297814E-2</v>
      </c>
      <c r="M28" s="74">
        <f t="shared" si="12"/>
        <v>36.298509543636094</v>
      </c>
      <c r="N28" s="11"/>
      <c r="Q28" s="9"/>
    </row>
    <row r="29" spans="1:30" x14ac:dyDescent="0.25">
      <c r="A29" s="95"/>
      <c r="B29" s="96"/>
      <c r="C29" s="96"/>
      <c r="D29" s="96"/>
      <c r="E29" s="96"/>
      <c r="F29" s="96"/>
      <c r="G29" s="97"/>
      <c r="H29" s="16"/>
      <c r="I29" s="74">
        <f t="shared" si="8"/>
        <v>7.9456433568051281</v>
      </c>
      <c r="J29" s="74">
        <f t="shared" si="9"/>
        <v>682.81043718913656</v>
      </c>
      <c r="K29" s="74">
        <f>+$G16/(($E16/$D16)^2+$G16*(1/I29 + ($D16-$D15)/$D16/I28))</f>
        <v>4.0204792954899036</v>
      </c>
      <c r="L29" s="74">
        <f t="shared" si="11"/>
        <v>2.5134486254892056E-2</v>
      </c>
      <c r="M29" s="74">
        <f t="shared" si="12"/>
        <v>40.105909125856947</v>
      </c>
      <c r="N29" s="11"/>
      <c r="Q29" s="9"/>
    </row>
    <row r="30" spans="1:30" x14ac:dyDescent="0.25">
      <c r="A30" s="95"/>
      <c r="B30" s="96"/>
      <c r="C30" s="96"/>
      <c r="D30" s="96"/>
      <c r="E30" s="96"/>
      <c r="F30" s="96"/>
      <c r="G30" s="97"/>
      <c r="H30" s="16"/>
      <c r="I30" s="74"/>
      <c r="J30" s="74"/>
      <c r="K30" s="74">
        <f>0.6133*$D17/2</f>
        <v>0.54583700000000002</v>
      </c>
      <c r="L30" s="74">
        <f t="shared" si="11"/>
        <v>2.9156989726675922E-2</v>
      </c>
      <c r="M30" s="74">
        <f t="shared" si="12"/>
        <v>48.866106612164991</v>
      </c>
      <c r="N30" s="11"/>
      <c r="Q30" s="9"/>
    </row>
    <row r="31" spans="1:30" x14ac:dyDescent="0.25">
      <c r="A31" s="95"/>
      <c r="B31" s="96"/>
      <c r="C31" s="96"/>
      <c r="D31" s="96"/>
      <c r="E31" s="96"/>
      <c r="F31" s="96"/>
      <c r="G31" s="97"/>
      <c r="H31" s="16"/>
      <c r="I31" s="70"/>
      <c r="J31" s="70"/>
      <c r="K31" s="70"/>
      <c r="L31" s="70"/>
      <c r="M31" s="70"/>
      <c r="N31" s="11"/>
      <c r="Q31" s="9"/>
    </row>
    <row r="32" spans="1:30" x14ac:dyDescent="0.25">
      <c r="A32" s="95"/>
      <c r="B32" s="96"/>
      <c r="C32" s="96"/>
      <c r="D32" s="96"/>
      <c r="E32" s="96"/>
      <c r="F32" s="96"/>
      <c r="G32" s="97"/>
      <c r="H32" s="16"/>
      <c r="I32" s="69" t="s">
        <v>103</v>
      </c>
      <c r="J32" s="70"/>
      <c r="K32" s="70"/>
      <c r="L32" s="70"/>
      <c r="M32" s="70"/>
      <c r="N32" s="11"/>
      <c r="Q32" s="9"/>
    </row>
    <row r="33" spans="1:17" ht="12.75" customHeight="1" x14ac:dyDescent="0.25">
      <c r="A33" s="95"/>
      <c r="B33" s="96"/>
      <c r="C33" s="96"/>
      <c r="D33" s="96"/>
      <c r="E33" s="96"/>
      <c r="F33" s="96"/>
      <c r="G33" s="97"/>
      <c r="I33" s="76" t="s">
        <v>19</v>
      </c>
      <c r="J33" s="76" t="s">
        <v>20</v>
      </c>
      <c r="K33" s="76" t="s">
        <v>21</v>
      </c>
      <c r="L33" s="76" t="s">
        <v>22</v>
      </c>
      <c r="M33" s="76" t="s">
        <v>23</v>
      </c>
      <c r="N33" s="11"/>
      <c r="Q33" s="9"/>
    </row>
    <row r="34" spans="1:17" x14ac:dyDescent="0.25">
      <c r="A34" s="95"/>
      <c r="B34" s="96"/>
      <c r="C34" s="96"/>
      <c r="D34" s="96"/>
      <c r="E34" s="96"/>
      <c r="F34" s="96"/>
      <c r="G34" s="97"/>
      <c r="I34" s="74">
        <f t="shared" ref="I34:I40" si="13">+M24-M23</f>
        <v>2.6255705640701557</v>
      </c>
      <c r="J34" s="74">
        <f t="shared" ref="J34:J40" si="14">+$C$3*$E10/$D10/2/PI()/SQRT($G10*I34)</f>
        <v>893.36900117861592</v>
      </c>
      <c r="K34" s="74">
        <f t="shared" ref="K34:K39" si="15">+I34*0.5*(SQRT(1+4*$G10/I34*($D10/$E10)^2)-1)</f>
        <v>4.9720749658991057</v>
      </c>
      <c r="L34" s="74">
        <v>0</v>
      </c>
      <c r="M34" s="74">
        <f>+$H10-K34-L34</f>
        <v>19.752018484007728</v>
      </c>
      <c r="N34" s="11"/>
      <c r="Q34" s="9"/>
    </row>
    <row r="35" spans="1:17" x14ac:dyDescent="0.25">
      <c r="A35" s="95"/>
      <c r="B35" s="96"/>
      <c r="C35" s="96"/>
      <c r="D35" s="96"/>
      <c r="E35" s="96"/>
      <c r="F35" s="96"/>
      <c r="G35" s="97"/>
      <c r="I35" s="74">
        <f t="shared" si="13"/>
        <v>2.8239840853566669</v>
      </c>
      <c r="J35" s="74">
        <f t="shared" si="14"/>
        <v>1151.9971543171282</v>
      </c>
      <c r="K35" s="74">
        <f t="shared" si="15"/>
        <v>3.5591257012512263</v>
      </c>
      <c r="L35" s="74">
        <f t="shared" ref="L35:L41" si="16">0.25*$C$5*(E10/D10)^2+L34</f>
        <v>1.8179522787526827E-3</v>
      </c>
      <c r="M35" s="74">
        <f t="shared" ref="M35:M41" si="17">+$H11-K35-L35</f>
        <v>22.811170702073138</v>
      </c>
      <c r="N35" s="11"/>
      <c r="O35" s="5"/>
      <c r="P35" s="2"/>
      <c r="Q35" s="9"/>
    </row>
    <row r="36" spans="1:17" x14ac:dyDescent="0.25">
      <c r="A36" s="95"/>
      <c r="B36" s="96"/>
      <c r="C36" s="96"/>
      <c r="D36" s="96"/>
      <c r="E36" s="96"/>
      <c r="F36" s="96"/>
      <c r="G36" s="97"/>
      <c r="I36" s="74">
        <f t="shared" si="13"/>
        <v>3.0359537630375399</v>
      </c>
      <c r="J36" s="74">
        <f t="shared" si="14"/>
        <v>1104.6306981309467</v>
      </c>
      <c r="K36" s="74">
        <f t="shared" si="15"/>
        <v>3.679390896535466</v>
      </c>
      <c r="L36" s="74">
        <f t="shared" si="16"/>
        <v>5.9083449059462185E-3</v>
      </c>
      <c r="M36" s="74">
        <f t="shared" si="17"/>
        <v>25.746538328939067</v>
      </c>
      <c r="N36" s="11"/>
      <c r="O36" s="5"/>
      <c r="P36" s="2"/>
      <c r="Q36" s="9"/>
    </row>
    <row r="37" spans="1:17" ht="13" thickBot="1" x14ac:dyDescent="0.3">
      <c r="A37" s="98"/>
      <c r="B37" s="99"/>
      <c r="C37" s="99"/>
      <c r="D37" s="99"/>
      <c r="E37" s="99"/>
      <c r="F37" s="99"/>
      <c r="G37" s="100"/>
      <c r="I37" s="74">
        <f t="shared" si="13"/>
        <v>4.8962482956531943</v>
      </c>
      <c r="J37" s="74">
        <f t="shared" si="14"/>
        <v>869.82716781351314</v>
      </c>
      <c r="K37" s="74">
        <f t="shared" si="15"/>
        <v>4.3225376596162555</v>
      </c>
      <c r="L37" s="74">
        <f t="shared" si="16"/>
        <v>9.9308483777300841E-3</v>
      </c>
      <c r="M37" s="74">
        <f t="shared" si="17"/>
        <v>28.631414541881803</v>
      </c>
      <c r="N37" s="11"/>
      <c r="O37" s="5"/>
      <c r="P37" s="2"/>
      <c r="Q37" s="9"/>
    </row>
    <row r="38" spans="1:17" ht="13" thickBot="1" x14ac:dyDescent="0.3">
      <c r="I38" s="74">
        <f t="shared" si="13"/>
        <v>2.7378021891288924</v>
      </c>
      <c r="J38" s="74">
        <f t="shared" si="14"/>
        <v>1163.2247967976707</v>
      </c>
      <c r="K38" s="74">
        <f t="shared" si="15"/>
        <v>3.5459473548157114</v>
      </c>
      <c r="L38" s="74">
        <f t="shared" si="16"/>
        <v>1.395335184951395E-2</v>
      </c>
      <c r="M38" s="74">
        <f t="shared" si="17"/>
        <v>33.520924744753522</v>
      </c>
      <c r="N38" s="11"/>
      <c r="O38" s="5"/>
      <c r="P38" s="2"/>
      <c r="Q38" s="9"/>
    </row>
    <row r="39" spans="1:17" ht="13" x14ac:dyDescent="0.3">
      <c r="A39" s="44" t="s">
        <v>50</v>
      </c>
      <c r="B39" s="47"/>
      <c r="C39" s="20"/>
      <c r="D39" s="20"/>
      <c r="E39" s="46" t="s">
        <v>51</v>
      </c>
      <c r="F39" s="101" t="s">
        <v>53</v>
      </c>
      <c r="I39" s="74">
        <f t="shared" si="13"/>
        <v>3.8073995822208531</v>
      </c>
      <c r="J39" s="74">
        <f t="shared" si="14"/>
        <v>1198.7877147199119</v>
      </c>
      <c r="K39" s="74">
        <f t="shared" si="15"/>
        <v>3.0564930116319808</v>
      </c>
      <c r="L39" s="74">
        <f t="shared" si="16"/>
        <v>1.7975855321297814E-2</v>
      </c>
      <c r="M39" s="74">
        <f t="shared" si="17"/>
        <v>36.480679034904092</v>
      </c>
      <c r="N39" s="11"/>
      <c r="O39" s="5"/>
      <c r="P39" s="2"/>
      <c r="Q39" s="9"/>
    </row>
    <row r="40" spans="1:17" ht="13" x14ac:dyDescent="0.3">
      <c r="A40" s="43"/>
      <c r="B40" s="41"/>
      <c r="C40" s="18" t="s">
        <v>19</v>
      </c>
      <c r="D40" s="18" t="s">
        <v>28</v>
      </c>
      <c r="E40" s="45" t="s">
        <v>52</v>
      </c>
      <c r="F40" s="102"/>
      <c r="I40" s="74">
        <f t="shared" si="13"/>
        <v>8.7601974863080443</v>
      </c>
      <c r="J40" s="74">
        <f t="shared" si="14"/>
        <v>650.29098944644807</v>
      </c>
      <c r="K40" s="74">
        <f>+$G16/(($E16/$D16)^2+$G16*(1/I40 + ($D16-$D15)/$D16/I39))</f>
        <v>4.2189801099821187</v>
      </c>
      <c r="L40" s="74">
        <f t="shared" si="16"/>
        <v>2.5134486254892056E-2</v>
      </c>
      <c r="M40" s="74">
        <f t="shared" si="17"/>
        <v>39.907408311364733</v>
      </c>
      <c r="N40" s="11"/>
      <c r="Q40" s="9"/>
    </row>
    <row r="41" spans="1:17" ht="13" x14ac:dyDescent="0.3">
      <c r="A41" s="82" t="s">
        <v>29</v>
      </c>
      <c r="B41" s="25"/>
      <c r="C41" s="22">
        <f>+I57+I58</f>
        <v>5.8715968241288081</v>
      </c>
      <c r="D41" s="22">
        <f>+C41*0.5*(SQRT(1+4*$G$11/C41*($D$11/$E$11)^2)-1)</f>
        <v>4.5377905926167124</v>
      </c>
      <c r="E41" s="84">
        <f>+(D41-K57)/$H$11/0.00059</f>
        <v>56.524110376810562</v>
      </c>
      <c r="F41" s="102"/>
      <c r="I41" s="74"/>
      <c r="J41" s="74"/>
      <c r="K41" s="74">
        <f>0.6133*$D17/2</f>
        <v>0.54583700000000002</v>
      </c>
      <c r="L41" s="74">
        <f t="shared" si="16"/>
        <v>2.9156989726675922E-2</v>
      </c>
      <c r="M41" s="74">
        <f t="shared" si="17"/>
        <v>48.866106612164991</v>
      </c>
      <c r="N41" s="11"/>
      <c r="Q41" s="9"/>
    </row>
    <row r="42" spans="1:17" ht="13" x14ac:dyDescent="0.3">
      <c r="A42" s="82" t="s">
        <v>30</v>
      </c>
      <c r="B42" s="25"/>
      <c r="C42" s="22">
        <f>+I58+I59+I60</f>
        <v>10.766884134447444</v>
      </c>
      <c r="D42" s="22">
        <f>+C42*0.5*(SQRT(1+4*$G$12/C42*($D$12/$E$12)^2)-1)</f>
        <v>5.4151081391318439</v>
      </c>
      <c r="E42" s="84">
        <f>+(D42-K58)/$H$12/0.00059</f>
        <v>105.44066174745871</v>
      </c>
      <c r="F42" s="102"/>
      <c r="I42" s="70"/>
      <c r="J42" s="70"/>
      <c r="K42" s="70"/>
      <c r="L42" s="70"/>
      <c r="M42" s="70"/>
      <c r="N42" s="11"/>
      <c r="Q42" s="9"/>
    </row>
    <row r="43" spans="1:17" ht="13" x14ac:dyDescent="0.3">
      <c r="A43" s="82" t="s">
        <v>31</v>
      </c>
      <c r="B43" s="25"/>
      <c r="C43" s="22">
        <f>+I59+I60+I61</f>
        <v>11.228586756552158</v>
      </c>
      <c r="D43" s="22">
        <f>+C43*0.5*(SQRT(1+4*$G$13/C43*($D$13/$E$13)^2)-1)</f>
        <v>5.4719654947187202</v>
      </c>
      <c r="E43" s="84">
        <f>+(D43-K59)/$H$13/0.00059</f>
        <v>60.6970981661403</v>
      </c>
      <c r="F43" s="102"/>
      <c r="I43" s="69" t="s">
        <v>104</v>
      </c>
      <c r="J43" s="70"/>
      <c r="K43" s="70"/>
      <c r="L43" s="70"/>
      <c r="M43" s="70"/>
      <c r="N43" s="11"/>
      <c r="Q43" s="9"/>
    </row>
    <row r="44" spans="1:17" ht="13" x14ac:dyDescent="0.3">
      <c r="A44" s="82" t="s">
        <v>32</v>
      </c>
      <c r="B44" s="25"/>
      <c r="C44" s="22">
        <f>+I60+I61</f>
        <v>6.4413844748630282</v>
      </c>
      <c r="D44" s="22">
        <f>+C44*0.5*(SQRT(1+4*$G$14/C44*($D$14/$E$14)^2)-1)</f>
        <v>4.7037405690293905</v>
      </c>
      <c r="E44" s="84">
        <f>+(D44-K60)/$H$14/0.00059</f>
        <v>44.446977492225642</v>
      </c>
      <c r="F44" s="102"/>
      <c r="I44" s="76" t="s">
        <v>19</v>
      </c>
      <c r="J44" s="76" t="s">
        <v>20</v>
      </c>
      <c r="K44" s="76" t="s">
        <v>21</v>
      </c>
      <c r="L44" s="76" t="s">
        <v>22</v>
      </c>
      <c r="M44" s="76" t="s">
        <v>23</v>
      </c>
      <c r="N44" s="11"/>
      <c r="Q44" s="9"/>
    </row>
    <row r="45" spans="1:17" ht="13.5" thickBot="1" x14ac:dyDescent="0.35">
      <c r="A45" s="83" t="s">
        <v>33</v>
      </c>
      <c r="B45" s="32"/>
      <c r="C45" s="23">
        <f>+I61+I62</f>
        <v>12.28649038828825</v>
      </c>
      <c r="D45" s="23">
        <f>+$G$16/(($E$16/$D$16)^2+$G$16*(1/C45 + ($D$16-$D$15)/$D$16/I$15))</f>
        <v>4.8956818729476526</v>
      </c>
      <c r="E45" s="85">
        <f>+(D45-K61)/$H$15/0.00059</f>
        <v>84.77290997835658</v>
      </c>
      <c r="F45" s="103"/>
      <c r="I45" s="74">
        <f t="shared" ref="I45:I51" si="18">+M35-M34</f>
        <v>3.0591522180654103</v>
      </c>
      <c r="J45" s="74">
        <f t="shared" ref="J45:J51" si="19">+$C$3*$E10/$D10/2/PI()/SQRT($G10*I45)</f>
        <v>827.64135423104563</v>
      </c>
      <c r="K45" s="74">
        <f t="shared" ref="K45:K50" si="20">+I45*0.5*(SQRT(1+4*$G10/I45*($D10/$E10)^2)-1)</f>
        <v>5.2787961155601586</v>
      </c>
      <c r="L45" s="74">
        <v>0</v>
      </c>
      <c r="M45" s="74">
        <f>+$H10-K45-L45</f>
        <v>19.445297334346677</v>
      </c>
      <c r="N45" s="11"/>
      <c r="Q45" s="9"/>
    </row>
    <row r="46" spans="1:17" x14ac:dyDescent="0.25">
      <c r="I46" s="74">
        <f t="shared" si="18"/>
        <v>2.9353676268659292</v>
      </c>
      <c r="J46" s="74">
        <f t="shared" si="19"/>
        <v>1129.9293213776241</v>
      </c>
      <c r="K46" s="74">
        <f t="shared" si="20"/>
        <v>3.6085786263510529</v>
      </c>
      <c r="L46" s="74">
        <f t="shared" ref="L46:L52" si="21">0.25*$C$5*(E10/D10)^2+L45</f>
        <v>1.8179522787526827E-3</v>
      </c>
      <c r="M46" s="74">
        <f t="shared" ref="M46:M52" si="22">+$H11-K46-L46</f>
        <v>22.76171777697331</v>
      </c>
      <c r="N46" s="11"/>
      <c r="O46" s="5"/>
      <c r="P46" s="2"/>
      <c r="Q46" s="9"/>
    </row>
    <row r="47" spans="1:17" ht="13" x14ac:dyDescent="0.3">
      <c r="B47" s="36"/>
      <c r="I47" s="74">
        <f t="shared" si="18"/>
        <v>2.8848762129427357</v>
      </c>
      <c r="J47" s="74">
        <f t="shared" si="19"/>
        <v>1133.1857209397861</v>
      </c>
      <c r="K47" s="74">
        <f t="shared" si="20"/>
        <v>3.6131971360452355</v>
      </c>
      <c r="L47" s="74">
        <f t="shared" si="21"/>
        <v>5.9083449059462185E-3</v>
      </c>
      <c r="M47" s="74">
        <f t="shared" si="22"/>
        <v>25.812732089429296</v>
      </c>
      <c r="N47" s="11"/>
      <c r="O47" s="5"/>
      <c r="P47" s="2"/>
      <c r="Q47" s="9"/>
    </row>
    <row r="48" spans="1:17" ht="13" x14ac:dyDescent="0.3">
      <c r="A48" s="36" t="s">
        <v>45</v>
      </c>
      <c r="I48" s="74">
        <f t="shared" si="18"/>
        <v>4.889510202871719</v>
      </c>
      <c r="J48" s="74">
        <f t="shared" si="19"/>
        <v>870.42630331963778</v>
      </c>
      <c r="K48" s="74">
        <f t="shared" si="20"/>
        <v>4.3206376003959424</v>
      </c>
      <c r="L48" s="74">
        <f t="shared" si="21"/>
        <v>9.9308483777300841E-3</v>
      </c>
      <c r="M48" s="74">
        <f t="shared" si="22"/>
        <v>28.633314601102118</v>
      </c>
      <c r="N48" s="11"/>
      <c r="O48" s="5"/>
      <c r="P48" s="2"/>
      <c r="Q48" s="9"/>
    </row>
    <row r="49" spans="1:17" x14ac:dyDescent="0.25">
      <c r="A49" s="4" t="s">
        <v>88</v>
      </c>
      <c r="B49" s="7"/>
      <c r="I49" s="74">
        <f t="shared" si="18"/>
        <v>2.9597542901505705</v>
      </c>
      <c r="J49" s="74">
        <f t="shared" si="19"/>
        <v>1118.7598072164733</v>
      </c>
      <c r="K49" s="74">
        <f t="shared" si="20"/>
        <v>3.6463552167779865</v>
      </c>
      <c r="L49" s="74">
        <f t="shared" si="21"/>
        <v>1.395335184951395E-2</v>
      </c>
      <c r="M49" s="74">
        <f t="shared" si="22"/>
        <v>33.420516882791247</v>
      </c>
      <c r="N49" s="11"/>
      <c r="O49" s="5"/>
      <c r="P49" s="2"/>
      <c r="Q49" s="9"/>
    </row>
    <row r="50" spans="1:17" x14ac:dyDescent="0.25">
      <c r="A50" s="7" t="s">
        <v>89</v>
      </c>
      <c r="B50" s="7"/>
      <c r="I50" s="74">
        <f t="shared" si="18"/>
        <v>3.426729276460641</v>
      </c>
      <c r="J50" s="74">
        <f t="shared" si="19"/>
        <v>1263.6203606709157</v>
      </c>
      <c r="K50" s="74">
        <f t="shared" si="20"/>
        <v>2.9575558226593324</v>
      </c>
      <c r="L50" s="74">
        <f t="shared" si="21"/>
        <v>1.7975855321297814E-2</v>
      </c>
      <c r="M50" s="74">
        <f t="shared" si="22"/>
        <v>36.579616223876741</v>
      </c>
      <c r="N50" s="11"/>
      <c r="O50" s="5"/>
      <c r="P50" s="2"/>
      <c r="Q50" s="9"/>
    </row>
    <row r="51" spans="1:17" x14ac:dyDescent="0.25">
      <c r="B51" s="7"/>
      <c r="I51" s="74">
        <f t="shared" si="18"/>
        <v>8.9586983008002576</v>
      </c>
      <c r="J51" s="74">
        <f t="shared" si="19"/>
        <v>643.04627849811607</v>
      </c>
      <c r="K51" s="74">
        <f>+$G16/(($E16/$D16)^2+$G16*(1/I51 + ($D16-$D15)/$D16/I50))</f>
        <v>4.2644870636925774</v>
      </c>
      <c r="L51" s="74">
        <f t="shared" si="21"/>
        <v>2.5134486254892056E-2</v>
      </c>
      <c r="M51" s="74">
        <f t="shared" si="22"/>
        <v>39.861901357654276</v>
      </c>
      <c r="N51" s="11"/>
    </row>
    <row r="52" spans="1:17" x14ac:dyDescent="0.25">
      <c r="A52" s="7" t="s">
        <v>95</v>
      </c>
      <c r="B52" s="7"/>
      <c r="I52" s="74"/>
      <c r="J52" s="74"/>
      <c r="K52" s="74">
        <f>0.6133*$D17/2</f>
        <v>0.54583700000000002</v>
      </c>
      <c r="L52" s="74">
        <f t="shared" si="21"/>
        <v>2.9156989726675922E-2</v>
      </c>
      <c r="M52" s="74">
        <f t="shared" si="22"/>
        <v>48.866106612164991</v>
      </c>
      <c r="N52" s="11"/>
    </row>
    <row r="53" spans="1:17" x14ac:dyDescent="0.25">
      <c r="A53" s="4" t="s">
        <v>100</v>
      </c>
      <c r="B53" s="7"/>
      <c r="I53" s="70"/>
      <c r="J53" s="70"/>
      <c r="K53" s="70"/>
      <c r="L53" s="70"/>
      <c r="M53" s="70"/>
      <c r="N53" s="11"/>
    </row>
    <row r="54" spans="1:17" x14ac:dyDescent="0.25">
      <c r="B54" s="7"/>
      <c r="I54" s="69" t="s">
        <v>105</v>
      </c>
      <c r="J54" s="70"/>
      <c r="K54" s="70"/>
      <c r="L54" s="70"/>
      <c r="M54" s="70"/>
      <c r="N54" s="11"/>
    </row>
    <row r="55" spans="1:17" x14ac:dyDescent="0.25">
      <c r="A55" s="7" t="s">
        <v>79</v>
      </c>
      <c r="B55" s="7"/>
      <c r="I55" s="76" t="s">
        <v>19</v>
      </c>
      <c r="J55" s="76" t="s">
        <v>20</v>
      </c>
      <c r="K55" s="76" t="s">
        <v>21</v>
      </c>
      <c r="L55" s="76" t="s">
        <v>22</v>
      </c>
      <c r="M55" s="76" t="s">
        <v>23</v>
      </c>
      <c r="N55" s="11"/>
    </row>
    <row r="56" spans="1:17" x14ac:dyDescent="0.25">
      <c r="A56" s="7" t="s">
        <v>94</v>
      </c>
      <c r="B56" s="7"/>
      <c r="I56" s="74">
        <f t="shared" ref="I56:I62" si="23">+M46-M45</f>
        <v>3.316420442626633</v>
      </c>
      <c r="J56" s="74">
        <f t="shared" ref="J56:J62" si="24">+$C$3*$E10/$D10/2/PI()/SQRT($G10*I56)</f>
        <v>794.89164927341824</v>
      </c>
      <c r="K56" s="74">
        <f t="shared" ref="K56:K61" si="25">+I56*0.5*(SQRT(1+4*$G10/I56*($D10/$E10)^2)-1)</f>
        <v>5.4456973172345107</v>
      </c>
      <c r="L56" s="74">
        <v>0</v>
      </c>
      <c r="M56" s="74">
        <f>+$H10-K56-L56</f>
        <v>19.278396132672324</v>
      </c>
      <c r="N56" s="11"/>
    </row>
    <row r="57" spans="1:17" x14ac:dyDescent="0.25">
      <c r="A57" s="7" t="s">
        <v>96</v>
      </c>
      <c r="B57" s="7"/>
      <c r="I57" s="74">
        <f t="shared" si="23"/>
        <v>3.0510143124559868</v>
      </c>
      <c r="J57" s="74">
        <f t="shared" si="24"/>
        <v>1108.3078422725941</v>
      </c>
      <c r="K57" s="74">
        <f t="shared" si="25"/>
        <v>3.6583010140201835</v>
      </c>
      <c r="L57" s="74">
        <f t="shared" ref="L57:L63" si="26">0.25*$C$5*(E10/D10)^2+L56</f>
        <v>1.8179522787526827E-3</v>
      </c>
      <c r="M57" s="74">
        <f t="shared" ref="M57:M63" si="27">+$H11-K57-L57</f>
        <v>22.711995389304182</v>
      </c>
    </row>
    <row r="58" spans="1:17" x14ac:dyDescent="0.25">
      <c r="B58" s="7"/>
      <c r="I58" s="74">
        <f t="shared" si="23"/>
        <v>2.8205825116728214</v>
      </c>
      <c r="J58" s="74">
        <f t="shared" si="24"/>
        <v>1146.0281368059602</v>
      </c>
      <c r="K58" s="74">
        <f t="shared" si="25"/>
        <v>3.584153805511709</v>
      </c>
      <c r="L58" s="74">
        <f t="shared" si="26"/>
        <v>5.9083449059462185E-3</v>
      </c>
      <c r="M58" s="74">
        <f t="shared" si="27"/>
        <v>25.841775419962826</v>
      </c>
    </row>
    <row r="59" spans="1:17" x14ac:dyDescent="0.25">
      <c r="A59" s="7" t="s">
        <v>42</v>
      </c>
      <c r="B59" s="8"/>
      <c r="I59" s="74">
        <f t="shared" si="23"/>
        <v>4.7872022816891295</v>
      </c>
      <c r="J59" s="74">
        <f t="shared" si="24"/>
        <v>879.67813086978776</v>
      </c>
      <c r="K59" s="74">
        <f t="shared" si="25"/>
        <v>4.2914863879235874</v>
      </c>
      <c r="L59" s="74">
        <f t="shared" si="26"/>
        <v>9.9308483777300841E-3</v>
      </c>
      <c r="M59" s="74">
        <f t="shared" si="27"/>
        <v>28.662465813574471</v>
      </c>
    </row>
    <row r="60" spans="1:17" x14ac:dyDescent="0.25">
      <c r="B60" s="8"/>
      <c r="I60" s="74">
        <f t="shared" si="23"/>
        <v>3.1590993410854935</v>
      </c>
      <c r="J60" s="74">
        <f t="shared" si="24"/>
        <v>1082.8867587930786</v>
      </c>
      <c r="K60" s="74">
        <f t="shared" si="25"/>
        <v>3.7313435066323</v>
      </c>
      <c r="L60" s="74">
        <f t="shared" si="26"/>
        <v>1.395335184951395E-2</v>
      </c>
      <c r="M60" s="74">
        <f t="shared" si="27"/>
        <v>33.335528592936932</v>
      </c>
    </row>
    <row r="61" spans="1:17" x14ac:dyDescent="0.25">
      <c r="A61" s="7" t="s">
        <v>97</v>
      </c>
      <c r="B61" s="8"/>
      <c r="I61" s="74">
        <f t="shared" si="23"/>
        <v>3.2822851337775347</v>
      </c>
      <c r="J61" s="74">
        <f t="shared" si="24"/>
        <v>1291.125205918597</v>
      </c>
      <c r="K61" s="74">
        <f t="shared" si="25"/>
        <v>2.9172909275114591</v>
      </c>
      <c r="L61" s="74">
        <f t="shared" si="26"/>
        <v>1.7975855321297814E-2</v>
      </c>
      <c r="M61" s="74">
        <f t="shared" si="27"/>
        <v>36.619881119024612</v>
      </c>
    </row>
    <row r="62" spans="1:17" ht="13" x14ac:dyDescent="0.25">
      <c r="A62" s="7" t="s">
        <v>98</v>
      </c>
      <c r="B62" s="8"/>
      <c r="I62" s="74">
        <f t="shared" si="23"/>
        <v>9.0042052545107154</v>
      </c>
      <c r="J62" s="74">
        <f t="shared" si="24"/>
        <v>641.41925291486314</v>
      </c>
      <c r="K62" s="74">
        <f>+$G16/(($E16/$D16)^2+$G16*(1/I62 + ($D16-$D15)/$D16/I61))</f>
        <v>4.2747711838253419</v>
      </c>
      <c r="L62" s="74">
        <f t="shared" si="26"/>
        <v>2.5134486254892056E-2</v>
      </c>
      <c r="M62" s="74">
        <f t="shared" si="27"/>
        <v>39.851617237521509</v>
      </c>
      <c r="Q62" s="9"/>
    </row>
    <row r="63" spans="1:17" x14ac:dyDescent="0.25">
      <c r="I63" s="74"/>
      <c r="J63" s="74"/>
      <c r="K63" s="74">
        <f>0.6133*$D17/2</f>
        <v>0.54583700000000002</v>
      </c>
      <c r="L63" s="74">
        <f t="shared" si="26"/>
        <v>2.9156989726675922E-2</v>
      </c>
      <c r="M63" s="74">
        <f t="shared" si="27"/>
        <v>48.866106612164991</v>
      </c>
    </row>
    <row r="64" spans="1:17" x14ac:dyDescent="0.25">
      <c r="A64" s="7" t="s">
        <v>80</v>
      </c>
    </row>
    <row r="65" spans="1:2" x14ac:dyDescent="0.25">
      <c r="A65" s="7" t="s">
        <v>81</v>
      </c>
    </row>
    <row r="67" spans="1:2" ht="13" x14ac:dyDescent="0.3">
      <c r="A67" s="7" t="s">
        <v>82</v>
      </c>
      <c r="B67" s="36"/>
    </row>
    <row r="68" spans="1:2" x14ac:dyDescent="0.25">
      <c r="B68" s="7"/>
    </row>
    <row r="69" spans="1:2" ht="13" x14ac:dyDescent="0.25">
      <c r="A69" s="7" t="s">
        <v>101</v>
      </c>
    </row>
    <row r="70" spans="1:2" ht="13" x14ac:dyDescent="0.25">
      <c r="A70" s="7" t="s">
        <v>99</v>
      </c>
    </row>
    <row r="72" spans="1:2" x14ac:dyDescent="0.25">
      <c r="A72" s="7" t="s">
        <v>92</v>
      </c>
    </row>
    <row r="73" spans="1:2" x14ac:dyDescent="0.25">
      <c r="A73" s="7" t="s">
        <v>93</v>
      </c>
    </row>
    <row r="75" spans="1:2" x14ac:dyDescent="0.25">
      <c r="A75" s="7" t="s">
        <v>90</v>
      </c>
    </row>
    <row r="76" spans="1:2" x14ac:dyDescent="0.25">
      <c r="A76" s="7" t="s">
        <v>91</v>
      </c>
    </row>
    <row r="78" spans="1:2" x14ac:dyDescent="0.25">
      <c r="A78" s="7" t="s">
        <v>43</v>
      </c>
    </row>
    <row r="79" spans="1:2" x14ac:dyDescent="0.25">
      <c r="A79" s="7" t="s">
        <v>44</v>
      </c>
    </row>
    <row r="80" spans="1:2" ht="13" x14ac:dyDescent="0.3">
      <c r="A80" s="36" t="s">
        <v>47</v>
      </c>
    </row>
    <row r="81" spans="1:1" x14ac:dyDescent="0.25">
      <c r="A81" s="7" t="s">
        <v>113</v>
      </c>
    </row>
    <row r="82" spans="1:1" x14ac:dyDescent="0.25">
      <c r="A82" s="7" t="s">
        <v>114</v>
      </c>
    </row>
  </sheetData>
  <sheetProtection sheet="1" selectLockedCells="1"/>
  <mergeCells count="5">
    <mergeCell ref="L1:M1"/>
    <mergeCell ref="A6:L6"/>
    <mergeCell ref="A28:G37"/>
    <mergeCell ref="F39:F45"/>
    <mergeCell ref="G1:J1"/>
  </mergeCells>
  <phoneticPr fontId="0" type="noConversion"/>
  <pageMargins left="0.75" right="0.75" top="0.86" bottom="0.72" header="0.5" footer="0.5"/>
  <pageSetup scale="90" orientation="landscape" verticalDpi="300" r:id="rId1"/>
  <headerFooter alignWithMargins="0">
    <oddHeader>&amp;A</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 Physics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hoekje</dc:creator>
  <cp:lastModifiedBy>Peter</cp:lastModifiedBy>
  <cp:lastPrinted>2012-11-15T03:20:11Z</cp:lastPrinted>
  <dcterms:created xsi:type="dcterms:W3CDTF">1997-04-24T03:38:50Z</dcterms:created>
  <dcterms:modified xsi:type="dcterms:W3CDTF">2020-10-03T18:24:31Z</dcterms:modified>
</cp:coreProperties>
</file>